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 windowWidth="19320" windowHeight="11445" tabRatio="595"/>
  </bookViews>
  <sheets>
    <sheet name="Index" sheetId="13" r:id="rId1"/>
    <sheet name="1 " sheetId="66" r:id="rId2"/>
    <sheet name="2" sheetId="14" r:id="rId3"/>
    <sheet name="3" sheetId="15" r:id="rId4"/>
    <sheet name="4" sheetId="16" r:id="rId5"/>
    <sheet name="5" sheetId="4" r:id="rId6"/>
    <sheet name="6" sheetId="5" r:id="rId7"/>
    <sheet name="7" sheetId="62" r:id="rId8"/>
    <sheet name="8a" sheetId="57" r:id="rId9"/>
    <sheet name="8b" sheetId="58" r:id="rId10"/>
    <sheet name="9" sheetId="8" r:id="rId11"/>
    <sheet name="10" sheetId="9" r:id="rId12"/>
    <sheet name="11" sheetId="65" r:id="rId13"/>
    <sheet name="12a" sheetId="60" r:id="rId14"/>
    <sheet name="12b" sheetId="61" r:id="rId15"/>
    <sheet name="13" sheetId="42" r:id="rId16"/>
    <sheet name="14" sheetId="43" r:id="rId17"/>
    <sheet name="15" sheetId="45" r:id="rId18"/>
    <sheet name="16" sheetId="44" r:id="rId19"/>
    <sheet name="17" sheetId="46" r:id="rId20"/>
  </sheets>
  <definedNames>
    <definedName name="_xlnm.Print_Area" localSheetId="1">'1 '!$A$1:$S$70</definedName>
    <definedName name="_xlnm.Print_Area" localSheetId="11">'10'!$A$1:$U$72</definedName>
    <definedName name="_xlnm.Print_Area" localSheetId="12">'11'!$A$1:$E$51</definedName>
    <definedName name="_xlnm.Print_Area" localSheetId="13">'12a'!$A$1:$E$51</definedName>
    <definedName name="_xlnm.Print_Area" localSheetId="14">'12b'!$A$1:$E$51</definedName>
    <definedName name="_xlnm.Print_Area" localSheetId="15">'13'!$A$1:$C$77</definedName>
    <definedName name="_xlnm.Print_Area" localSheetId="16">'14'!$A$1:$I$55</definedName>
    <definedName name="_xlnm.Print_Area" localSheetId="17">'15'!$A$1:$I$55</definedName>
    <definedName name="_xlnm.Print_Area" localSheetId="18">'16'!$A$1:$I$56</definedName>
    <definedName name="_xlnm.Print_Area" localSheetId="19">'17'!$A$1:$I$56</definedName>
    <definedName name="_xlnm.Print_Area" localSheetId="2">'2'!$A$1:$G$72</definedName>
    <definedName name="_xlnm.Print_Area" localSheetId="3">'3'!$A$1:$O$68</definedName>
    <definedName name="_xlnm.Print_Area" localSheetId="4">'4'!$A$1:$AB$72</definedName>
    <definedName name="_xlnm.Print_Area" localSheetId="5">'5'!$A$1:$S$70</definedName>
    <definedName name="_xlnm.Print_Area" localSheetId="6">'6'!$A$1:$S$70</definedName>
    <definedName name="_xlnm.Print_Area" localSheetId="7">'7'!$A$1:$F$51</definedName>
    <definedName name="_xlnm.Print_Area" localSheetId="8">'8a'!$A$1:$E$51</definedName>
    <definedName name="_xlnm.Print_Area" localSheetId="9">'8b'!$A$1:$E$51</definedName>
    <definedName name="_xlnm.Print_Area" localSheetId="10">'9'!$A$1:$U$70</definedName>
    <definedName name="_xlnm.Print_Area" localSheetId="0">Index!$A$1:$I$35</definedName>
  </definedNames>
  <calcPr calcId="125725"/>
</workbook>
</file>

<file path=xl/calcChain.xml><?xml version="1.0" encoding="utf-8"?>
<calcChain xmlns="http://schemas.openxmlformats.org/spreadsheetml/2006/main">
  <c r="K52" i="15"/>
  <c r="M52"/>
  <c r="N52"/>
  <c r="O52"/>
  <c r="K53"/>
  <c r="M53"/>
  <c r="N53"/>
  <c r="O53"/>
  <c r="K54"/>
  <c r="M54"/>
  <c r="N54"/>
  <c r="O54"/>
  <c r="J54"/>
  <c r="J53"/>
  <c r="J52"/>
  <c r="N41"/>
  <c r="O41" s="1"/>
  <c r="N42"/>
  <c r="O42" s="1"/>
  <c r="N43"/>
  <c r="O43" s="1"/>
  <c r="B72" i="42"/>
  <c r="B71"/>
  <c r="B70"/>
  <c r="B15" i="65"/>
  <c r="B12"/>
  <c r="B9"/>
  <c r="B6"/>
  <c r="M52" i="9"/>
  <c r="M51"/>
  <c r="M50"/>
  <c r="N39"/>
  <c r="B39" i="44" s="1"/>
  <c r="N40" i="9"/>
  <c r="B40" i="44" s="1"/>
  <c r="N41" i="9"/>
  <c r="B41" i="44" s="1"/>
  <c r="B64" i="9"/>
  <c r="B63"/>
  <c r="B62"/>
  <c r="C51"/>
  <c r="D51"/>
  <c r="E51"/>
  <c r="F51"/>
  <c r="G51"/>
  <c r="H51"/>
  <c r="I51"/>
  <c r="C52"/>
  <c r="D52"/>
  <c r="E52"/>
  <c r="F52"/>
  <c r="G52"/>
  <c r="H52"/>
  <c r="I52"/>
  <c r="C53"/>
  <c r="D53"/>
  <c r="E53"/>
  <c r="F53"/>
  <c r="B10" i="65" s="1"/>
  <c r="G53" i="9"/>
  <c r="H53"/>
  <c r="I53"/>
  <c r="M52" i="8"/>
  <c r="M51"/>
  <c r="M50"/>
  <c r="N39"/>
  <c r="B39" i="43" s="1"/>
  <c r="B39" i="45" s="1"/>
  <c r="O39" i="8"/>
  <c r="C39" i="43" s="1"/>
  <c r="C39" i="45" s="1"/>
  <c r="P39" i="8"/>
  <c r="D39" i="43" s="1"/>
  <c r="D39" i="45" s="1"/>
  <c r="Q39" i="8"/>
  <c r="E39" i="43" s="1"/>
  <c r="E39" i="45" s="1"/>
  <c r="S39" i="8"/>
  <c r="G39" i="43" s="1"/>
  <c r="G39" i="45" s="1"/>
  <c r="T39" i="8"/>
  <c r="H39" i="43" s="1"/>
  <c r="H39" i="45" s="1"/>
  <c r="U39" i="8"/>
  <c r="I39" i="43" s="1"/>
  <c r="I39" i="45" s="1"/>
  <c r="N40" i="8"/>
  <c r="B40" i="43" s="1"/>
  <c r="B40" i="45" s="1"/>
  <c r="O40" i="8"/>
  <c r="C40" i="43" s="1"/>
  <c r="C40" i="45" s="1"/>
  <c r="P40" i="8"/>
  <c r="D40" i="43" s="1"/>
  <c r="D40" i="45" s="1"/>
  <c r="Q40" i="8"/>
  <c r="E40" i="43" s="1"/>
  <c r="E40" i="45" s="1"/>
  <c r="S40" i="8"/>
  <c r="G40" i="43" s="1"/>
  <c r="G40" i="45" s="1"/>
  <c r="T40" i="8"/>
  <c r="H40" i="43" s="1"/>
  <c r="H40" i="45" s="1"/>
  <c r="U40" i="8"/>
  <c r="I40" i="43" s="1"/>
  <c r="I40" i="45" s="1"/>
  <c r="N41" i="8"/>
  <c r="B41" i="43" s="1"/>
  <c r="O41" i="8"/>
  <c r="C41" i="43" s="1"/>
  <c r="P41" i="8"/>
  <c r="E9" i="65" s="1"/>
  <c r="Q41" i="8"/>
  <c r="S41"/>
  <c r="G41" i="43" s="1"/>
  <c r="U41" i="8"/>
  <c r="B65"/>
  <c r="B64"/>
  <c r="B63"/>
  <c r="C51"/>
  <c r="D51"/>
  <c r="E51"/>
  <c r="F51"/>
  <c r="G51"/>
  <c r="H51"/>
  <c r="I51"/>
  <c r="J51"/>
  <c r="C52"/>
  <c r="D52"/>
  <c r="E52"/>
  <c r="F52"/>
  <c r="G52"/>
  <c r="H52"/>
  <c r="I52"/>
  <c r="J52"/>
  <c r="C53"/>
  <c r="C6" i="65" s="1"/>
  <c r="D53" i="8"/>
  <c r="E53"/>
  <c r="C9" i="65" s="1"/>
  <c r="F53" i="8"/>
  <c r="C10" i="65" s="1"/>
  <c r="G53" i="8"/>
  <c r="C12" i="65" s="1"/>
  <c r="H53" i="8"/>
  <c r="I53"/>
  <c r="C15" i="65" s="1"/>
  <c r="E16" i="62"/>
  <c r="C15"/>
  <c r="B15"/>
  <c r="B28" s="1"/>
  <c r="E13"/>
  <c r="C13"/>
  <c r="C12"/>
  <c r="B13"/>
  <c r="B32" s="1"/>
  <c r="B12"/>
  <c r="B29" s="1"/>
  <c r="E10"/>
  <c r="E9"/>
  <c r="D9"/>
  <c r="C10"/>
  <c r="C9"/>
  <c r="B10"/>
  <c r="B25" s="1"/>
  <c r="B9"/>
  <c r="B22" s="1"/>
  <c r="E7"/>
  <c r="C7"/>
  <c r="B7"/>
  <c r="B26" s="1"/>
  <c r="E6"/>
  <c r="D6"/>
  <c r="C6"/>
  <c r="B6"/>
  <c r="B23" s="1"/>
  <c r="C62" i="5"/>
  <c r="D62"/>
  <c r="E62"/>
  <c r="F62"/>
  <c r="G62"/>
  <c r="H62"/>
  <c r="C63"/>
  <c r="D63"/>
  <c r="E63"/>
  <c r="F63"/>
  <c r="G63"/>
  <c r="H63"/>
  <c r="C64"/>
  <c r="D64"/>
  <c r="E64"/>
  <c r="F64"/>
  <c r="G64"/>
  <c r="H64"/>
  <c r="B64"/>
  <c r="B63"/>
  <c r="B6" i="57" s="1"/>
  <c r="B62" i="5"/>
  <c r="I51"/>
  <c r="J51" i="9" s="1"/>
  <c r="I52" i="5"/>
  <c r="J52" i="9" s="1"/>
  <c r="I53" i="5"/>
  <c r="B16" i="62" s="1"/>
  <c r="N52" i="5"/>
  <c r="L52"/>
  <c r="L51"/>
  <c r="L50"/>
  <c r="N108"/>
  <c r="N109"/>
  <c r="S40" s="1"/>
  <c r="U40" i="9" s="1"/>
  <c r="I40" i="44" s="1"/>
  <c r="N110" i="5"/>
  <c r="M39"/>
  <c r="O39" s="1"/>
  <c r="Q39" i="9" s="1"/>
  <c r="E39" i="44" s="1"/>
  <c r="N39" i="5"/>
  <c r="P39" i="9" s="1"/>
  <c r="D39" i="44" s="1"/>
  <c r="Q39" i="5"/>
  <c r="S39" i="9" s="1"/>
  <c r="G39" i="44" s="1"/>
  <c r="R39" i="5"/>
  <c r="T39" i="9" s="1"/>
  <c r="H39" i="44" s="1"/>
  <c r="S39" i="5"/>
  <c r="U39" i="9" s="1"/>
  <c r="I39" i="44" s="1"/>
  <c r="M40" i="5"/>
  <c r="O40" s="1"/>
  <c r="Q40" i="9" s="1"/>
  <c r="E40" i="44" s="1"/>
  <c r="N40" i="5"/>
  <c r="P40" i="9" s="1"/>
  <c r="D40" i="44" s="1"/>
  <c r="P40" i="5"/>
  <c r="R40" i="9" s="1"/>
  <c r="F40" i="44" s="1"/>
  <c r="M41" i="5"/>
  <c r="O41" s="1"/>
  <c r="Q41" i="9" s="1"/>
  <c r="N41" i="5"/>
  <c r="P41" i="9" s="1"/>
  <c r="P41" i="5"/>
  <c r="Q41"/>
  <c r="D13" i="62" s="1"/>
  <c r="S41" i="5"/>
  <c r="U41" i="9" s="1"/>
  <c r="M51" i="4"/>
  <c r="N51"/>
  <c r="O51"/>
  <c r="Q51"/>
  <c r="S51"/>
  <c r="M52"/>
  <c r="N52"/>
  <c r="O52"/>
  <c r="Q52"/>
  <c r="S52"/>
  <c r="M53"/>
  <c r="N53"/>
  <c r="O53"/>
  <c r="Q53"/>
  <c r="S53"/>
  <c r="L53"/>
  <c r="L52"/>
  <c r="E6" i="57" s="1"/>
  <c r="L51" i="4"/>
  <c r="E6" i="58" s="1"/>
  <c r="N41" i="4"/>
  <c r="R41" s="1"/>
  <c r="N39"/>
  <c r="R39" s="1"/>
  <c r="N40"/>
  <c r="R40" s="1"/>
  <c r="P39"/>
  <c r="R39" i="8" s="1"/>
  <c r="F39" i="43" s="1"/>
  <c r="F39" i="45" s="1"/>
  <c r="P40" i="4"/>
  <c r="R40" i="8" s="1"/>
  <c r="F40" i="43" s="1"/>
  <c r="F40" i="45" s="1"/>
  <c r="P41" i="4"/>
  <c r="P51" s="1"/>
  <c r="C62"/>
  <c r="D62"/>
  <c r="E62"/>
  <c r="F62"/>
  <c r="G62"/>
  <c r="H62"/>
  <c r="C63"/>
  <c r="D63"/>
  <c r="E63"/>
  <c r="F63"/>
  <c r="G63"/>
  <c r="H63"/>
  <c r="C64"/>
  <c r="D64"/>
  <c r="E64"/>
  <c r="F64"/>
  <c r="G64"/>
  <c r="H64"/>
  <c r="B64"/>
  <c r="B63"/>
  <c r="B62"/>
  <c r="I51"/>
  <c r="I52"/>
  <c r="I53"/>
  <c r="I4"/>
  <c r="N4"/>
  <c r="R4" s="1"/>
  <c r="P4"/>
  <c r="V4"/>
  <c r="W4"/>
  <c r="X4"/>
  <c r="Y4"/>
  <c r="AA4"/>
  <c r="AB4"/>
  <c r="AC4"/>
  <c r="AD4"/>
  <c r="M53" i="16"/>
  <c r="N53"/>
  <c r="O53"/>
  <c r="M54"/>
  <c r="N54"/>
  <c r="O54"/>
  <c r="M55"/>
  <c r="N55"/>
  <c r="O55"/>
  <c r="L55"/>
  <c r="L54"/>
  <c r="L53"/>
  <c r="C64"/>
  <c r="D64"/>
  <c r="E64"/>
  <c r="F64"/>
  <c r="G64"/>
  <c r="H64"/>
  <c r="I64"/>
  <c r="C65"/>
  <c r="D65"/>
  <c r="E65"/>
  <c r="F65"/>
  <c r="G65"/>
  <c r="H65"/>
  <c r="I65"/>
  <c r="C66"/>
  <c r="D66"/>
  <c r="E66"/>
  <c r="F66"/>
  <c r="G66"/>
  <c r="H66"/>
  <c r="I66"/>
  <c r="B66"/>
  <c r="B65"/>
  <c r="B64"/>
  <c r="G53"/>
  <c r="G54"/>
  <c r="G55"/>
  <c r="F53"/>
  <c r="F54"/>
  <c r="F55"/>
  <c r="C64" i="15"/>
  <c r="D64"/>
  <c r="E64"/>
  <c r="F64"/>
  <c r="G64"/>
  <c r="C65"/>
  <c r="D65"/>
  <c r="E65"/>
  <c r="F65"/>
  <c r="G65"/>
  <c r="C66"/>
  <c r="D66"/>
  <c r="E66"/>
  <c r="F66"/>
  <c r="G66"/>
  <c r="B66"/>
  <c r="B65"/>
  <c r="B64"/>
  <c r="G53"/>
  <c r="G54"/>
  <c r="G55"/>
  <c r="D53"/>
  <c r="D54"/>
  <c r="D55"/>
  <c r="F53" i="14"/>
  <c r="F52"/>
  <c r="F51"/>
  <c r="G40"/>
  <c r="P39" i="5" s="1"/>
  <c r="R39" i="9" s="1"/>
  <c r="F39" i="44" s="1"/>
  <c r="G41" i="14"/>
  <c r="G42"/>
  <c r="R41" i="5" s="1"/>
  <c r="B66" i="14"/>
  <c r="B65"/>
  <c r="B64"/>
  <c r="C51"/>
  <c r="C52"/>
  <c r="C53"/>
  <c r="M52" i="66"/>
  <c r="N52"/>
  <c r="O52"/>
  <c r="P52"/>
  <c r="Q52"/>
  <c r="R52"/>
  <c r="S52"/>
  <c r="M53"/>
  <c r="N53"/>
  <c r="O53"/>
  <c r="P53"/>
  <c r="Q53"/>
  <c r="R53"/>
  <c r="S53"/>
  <c r="M54"/>
  <c r="N54"/>
  <c r="O54"/>
  <c r="P54"/>
  <c r="Q54"/>
  <c r="R54"/>
  <c r="S54"/>
  <c r="L54"/>
  <c r="L52"/>
  <c r="L53"/>
  <c r="P41"/>
  <c r="S41" s="1"/>
  <c r="Q41"/>
  <c r="R41"/>
  <c r="P42"/>
  <c r="S42" s="1"/>
  <c r="Q42"/>
  <c r="R42"/>
  <c r="P43"/>
  <c r="S43" s="1"/>
  <c r="Q43"/>
  <c r="R43"/>
  <c r="C63"/>
  <c r="D63"/>
  <c r="E63"/>
  <c r="C64"/>
  <c r="D64"/>
  <c r="E64"/>
  <c r="C65"/>
  <c r="D65"/>
  <c r="E65"/>
  <c r="B65"/>
  <c r="B64"/>
  <c r="B63"/>
  <c r="I54"/>
  <c r="H52"/>
  <c r="H53"/>
  <c r="H54"/>
  <c r="G52"/>
  <c r="G53"/>
  <c r="G54"/>
  <c r="F52"/>
  <c r="I52" s="1"/>
  <c r="F53"/>
  <c r="I53" s="1"/>
  <c r="F54"/>
  <c r="N38" i="9"/>
  <c r="B38" i="44" s="1"/>
  <c r="C50" i="9"/>
  <c r="D50"/>
  <c r="E50"/>
  <c r="F50"/>
  <c r="G50"/>
  <c r="H50"/>
  <c r="I50"/>
  <c r="N38" i="8"/>
  <c r="O38"/>
  <c r="C38" i="43" s="1"/>
  <c r="Q38" i="8"/>
  <c r="S38"/>
  <c r="G38" i="43" s="1"/>
  <c r="U38" i="8"/>
  <c r="C50"/>
  <c r="D50"/>
  <c r="E50"/>
  <c r="F50"/>
  <c r="G50"/>
  <c r="H50"/>
  <c r="I50"/>
  <c r="N4" i="5"/>
  <c r="N74"/>
  <c r="M5" s="1"/>
  <c r="O5" s="1"/>
  <c r="N75"/>
  <c r="S6" s="1"/>
  <c r="N76"/>
  <c r="S7" s="1"/>
  <c r="N77"/>
  <c r="Q8" s="1"/>
  <c r="N78"/>
  <c r="M9" s="1"/>
  <c r="N79"/>
  <c r="S10" s="1"/>
  <c r="N80"/>
  <c r="S11" s="1"/>
  <c r="N81"/>
  <c r="Q12" s="1"/>
  <c r="N82"/>
  <c r="M13" s="1"/>
  <c r="N83"/>
  <c r="S14" s="1"/>
  <c r="N84"/>
  <c r="S15" s="1"/>
  <c r="N85"/>
  <c r="Q16" s="1"/>
  <c r="N86"/>
  <c r="M17" s="1"/>
  <c r="N87"/>
  <c r="S18" s="1"/>
  <c r="N88"/>
  <c r="S19" s="1"/>
  <c r="N89"/>
  <c r="Q20" s="1"/>
  <c r="N90"/>
  <c r="M21" s="1"/>
  <c r="N91"/>
  <c r="S22" s="1"/>
  <c r="N92"/>
  <c r="S23" s="1"/>
  <c r="N93"/>
  <c r="Q24" s="1"/>
  <c r="N94"/>
  <c r="M25" s="1"/>
  <c r="N95"/>
  <c r="S26" s="1"/>
  <c r="N96"/>
  <c r="S27" s="1"/>
  <c r="N97"/>
  <c r="Q28" s="1"/>
  <c r="N98"/>
  <c r="M29" s="1"/>
  <c r="N99"/>
  <c r="S30" s="1"/>
  <c r="N100"/>
  <c r="S31" s="1"/>
  <c r="N101"/>
  <c r="M32" s="1"/>
  <c r="N102"/>
  <c r="Q33" s="1"/>
  <c r="N103"/>
  <c r="S34" s="1"/>
  <c r="N104"/>
  <c r="S35" s="1"/>
  <c r="N105"/>
  <c r="Q36" s="1"/>
  <c r="N106"/>
  <c r="Q37" s="1"/>
  <c r="N107"/>
  <c r="S38" s="1"/>
  <c r="U38" i="9" s="1"/>
  <c r="N73" i="5"/>
  <c r="S4" s="1"/>
  <c r="I50"/>
  <c r="J50" i="9" s="1"/>
  <c r="I4" i="5"/>
  <c r="E7" i="58"/>
  <c r="E10"/>
  <c r="E13"/>
  <c r="E16"/>
  <c r="E7" i="57"/>
  <c r="E10"/>
  <c r="E13"/>
  <c r="E16"/>
  <c r="P49" i="16"/>
  <c r="Q49"/>
  <c r="R49"/>
  <c r="S49"/>
  <c r="T49"/>
  <c r="U49"/>
  <c r="V49"/>
  <c r="X49"/>
  <c r="Y49"/>
  <c r="Z49"/>
  <c r="AA49"/>
  <c r="P50"/>
  <c r="Q50"/>
  <c r="R50"/>
  <c r="S50"/>
  <c r="T50"/>
  <c r="U50"/>
  <c r="V50"/>
  <c r="X50"/>
  <c r="Y50"/>
  <c r="Z50"/>
  <c r="AA50"/>
  <c r="P51"/>
  <c r="Q51"/>
  <c r="R51"/>
  <c r="S51"/>
  <c r="T51"/>
  <c r="U51"/>
  <c r="V51"/>
  <c r="X51"/>
  <c r="Y51"/>
  <c r="Z51"/>
  <c r="AA51"/>
  <c r="P38" i="4"/>
  <c r="N38"/>
  <c r="R38" s="1"/>
  <c r="T38" i="8" s="1"/>
  <c r="N9" i="4"/>
  <c r="P5"/>
  <c r="P6"/>
  <c r="P7"/>
  <c r="P8"/>
  <c r="P9"/>
  <c r="P10"/>
  <c r="P11"/>
  <c r="P12"/>
  <c r="P13"/>
  <c r="P14"/>
  <c r="P15"/>
  <c r="P16"/>
  <c r="P17"/>
  <c r="P18"/>
  <c r="P19"/>
  <c r="P20"/>
  <c r="P21"/>
  <c r="P22"/>
  <c r="P23"/>
  <c r="P24"/>
  <c r="P25"/>
  <c r="P26"/>
  <c r="P27"/>
  <c r="P28"/>
  <c r="P29"/>
  <c r="P30"/>
  <c r="P31"/>
  <c r="P32"/>
  <c r="P33"/>
  <c r="P34"/>
  <c r="P35"/>
  <c r="P36"/>
  <c r="P37"/>
  <c r="I50"/>
  <c r="F52" i="16"/>
  <c r="G52"/>
  <c r="F50"/>
  <c r="N40" i="15"/>
  <c r="O40" s="1"/>
  <c r="N6"/>
  <c r="G52"/>
  <c r="D52"/>
  <c r="P40" i="66"/>
  <c r="Q40"/>
  <c r="R40"/>
  <c r="P39"/>
  <c r="B60"/>
  <c r="H51"/>
  <c r="G51"/>
  <c r="F51"/>
  <c r="F6"/>
  <c r="G6"/>
  <c r="H6"/>
  <c r="P6"/>
  <c r="Q6"/>
  <c r="R6"/>
  <c r="F9"/>
  <c r="I49" i="4"/>
  <c r="F50" i="66"/>
  <c r="G50"/>
  <c r="H50"/>
  <c r="G41" i="45" l="1"/>
  <c r="D41" i="44"/>
  <c r="D9" i="65"/>
  <c r="T41" i="9"/>
  <c r="D15" i="62"/>
  <c r="B41" i="45"/>
  <c r="D16" i="65"/>
  <c r="I41" i="44"/>
  <c r="D10" i="65"/>
  <c r="E41" i="44"/>
  <c r="C41" i="45"/>
  <c r="J53" i="8"/>
  <c r="T41"/>
  <c r="R41" i="9"/>
  <c r="D6" i="65"/>
  <c r="D41" i="43"/>
  <c r="P53" i="4"/>
  <c r="R51"/>
  <c r="R40" i="5"/>
  <c r="T40" i="9" s="1"/>
  <c r="H40" i="44" s="1"/>
  <c r="S52" i="5"/>
  <c r="C16" i="62"/>
  <c r="S41" i="9"/>
  <c r="O41"/>
  <c r="O40"/>
  <c r="C40" i="44" s="1"/>
  <c r="O39" i="9"/>
  <c r="C39" i="44" s="1"/>
  <c r="C7" i="65"/>
  <c r="E7"/>
  <c r="E10"/>
  <c r="C13"/>
  <c r="E13"/>
  <c r="E16"/>
  <c r="I41" i="43"/>
  <c r="E41"/>
  <c r="P52" i="4"/>
  <c r="S51" i="5"/>
  <c r="D7" i="62"/>
  <c r="E12"/>
  <c r="E15"/>
  <c r="R41" i="8"/>
  <c r="J53" i="9"/>
  <c r="E6" i="65"/>
  <c r="D12" i="62"/>
  <c r="S50" i="5"/>
  <c r="D10" i="62"/>
  <c r="D16"/>
  <c r="B7" i="65"/>
  <c r="B13"/>
  <c r="Q40" i="5"/>
  <c r="S40" i="9" s="1"/>
  <c r="G40" i="44" s="1"/>
  <c r="M26" i="5"/>
  <c r="Q34"/>
  <c r="M34"/>
  <c r="M10"/>
  <c r="S12"/>
  <c r="M18"/>
  <c r="S20"/>
  <c r="M30"/>
  <c r="M14"/>
  <c r="Q38"/>
  <c r="S38" i="9" s="1"/>
  <c r="G38" i="44" s="1"/>
  <c r="Q21" i="5"/>
  <c r="Q5"/>
  <c r="S24"/>
  <c r="S8"/>
  <c r="Q25"/>
  <c r="Q9"/>
  <c r="S28"/>
  <c r="M38"/>
  <c r="O38" s="1"/>
  <c r="Q38" i="9" s="1"/>
  <c r="M22" i="5"/>
  <c r="M6"/>
  <c r="Q29"/>
  <c r="Q13"/>
  <c r="S32"/>
  <c r="S16"/>
  <c r="Q17"/>
  <c r="S36"/>
  <c r="Q32"/>
  <c r="M4"/>
  <c r="O4" s="1"/>
  <c r="O52" s="1"/>
  <c r="M35"/>
  <c r="M31"/>
  <c r="M51" s="1"/>
  <c r="M27"/>
  <c r="M23"/>
  <c r="M50" s="1"/>
  <c r="M19"/>
  <c r="M15"/>
  <c r="M11"/>
  <c r="M7"/>
  <c r="Q4"/>
  <c r="Q52" s="1"/>
  <c r="Q35"/>
  <c r="Q30"/>
  <c r="Q26"/>
  <c r="Q22"/>
  <c r="Q18"/>
  <c r="Q14"/>
  <c r="Q10"/>
  <c r="Q6"/>
  <c r="S37"/>
  <c r="S33"/>
  <c r="S29"/>
  <c r="S25"/>
  <c r="S21"/>
  <c r="S17"/>
  <c r="S13"/>
  <c r="S9"/>
  <c r="S5"/>
  <c r="B27" i="62"/>
  <c r="M36" i="5"/>
  <c r="M28"/>
  <c r="M24"/>
  <c r="M20"/>
  <c r="M16"/>
  <c r="M12"/>
  <c r="M8"/>
  <c r="Q31"/>
  <c r="Q51" s="1"/>
  <c r="Q27"/>
  <c r="Q23"/>
  <c r="Q50" s="1"/>
  <c r="Q19"/>
  <c r="Q15"/>
  <c r="Q11"/>
  <c r="Q7"/>
  <c r="M37"/>
  <c r="M33"/>
  <c r="B8" i="62"/>
  <c r="E9" i="58"/>
  <c r="N38" i="5"/>
  <c r="P38" i="8"/>
  <c r="D38" i="43" s="1"/>
  <c r="D38" i="45" s="1"/>
  <c r="E8" i="58"/>
  <c r="S40" i="66"/>
  <c r="B30" i="62"/>
  <c r="E12" i="57"/>
  <c r="E38" i="43"/>
  <c r="E38" i="45" s="1"/>
  <c r="I38" i="43"/>
  <c r="C38" i="45"/>
  <c r="B24" i="62"/>
  <c r="H38" i="43"/>
  <c r="I38" i="44"/>
  <c r="G38" i="45"/>
  <c r="E12" i="58"/>
  <c r="J50" i="8"/>
  <c r="B38" i="43"/>
  <c r="B31" i="62"/>
  <c r="B33" s="1"/>
  <c r="R38" i="8"/>
  <c r="S6" i="66"/>
  <c r="I51"/>
  <c r="I6"/>
  <c r="I50"/>
  <c r="N36" i="9"/>
  <c r="B36" i="44" s="1"/>
  <c r="I48" i="9"/>
  <c r="I49"/>
  <c r="H48"/>
  <c r="H49"/>
  <c r="H47"/>
  <c r="G47"/>
  <c r="G48"/>
  <c r="G49"/>
  <c r="F48"/>
  <c r="F49"/>
  <c r="E48"/>
  <c r="E49"/>
  <c r="D48"/>
  <c r="D49"/>
  <c r="C48"/>
  <c r="U32" i="8"/>
  <c r="U33"/>
  <c r="U34"/>
  <c r="U35"/>
  <c r="U36"/>
  <c r="I36" i="43" s="1"/>
  <c r="U37" i="8"/>
  <c r="S32"/>
  <c r="S33"/>
  <c r="S34"/>
  <c r="S35"/>
  <c r="S36"/>
  <c r="G36" i="43" s="1"/>
  <c r="S37" i="8"/>
  <c r="Q32"/>
  <c r="Q33"/>
  <c r="Q34"/>
  <c r="Q35"/>
  <c r="Q36"/>
  <c r="E36" i="43" s="1"/>
  <c r="Q37" i="8"/>
  <c r="O29"/>
  <c r="O30"/>
  <c r="O31"/>
  <c r="O51" s="1"/>
  <c r="O32"/>
  <c r="O33"/>
  <c r="O34"/>
  <c r="O35"/>
  <c r="O36"/>
  <c r="C36" i="43" s="1"/>
  <c r="O37" i="8"/>
  <c r="N37"/>
  <c r="B37" i="43" s="1"/>
  <c r="N36" i="8"/>
  <c r="B36" i="43" s="1"/>
  <c r="N35" i="8"/>
  <c r="N34"/>
  <c r="N33"/>
  <c r="N32"/>
  <c r="N31"/>
  <c r="N51" s="1"/>
  <c r="N29"/>
  <c r="N30"/>
  <c r="I42"/>
  <c r="I43"/>
  <c r="I64" s="1"/>
  <c r="I44"/>
  <c r="I45"/>
  <c r="I46"/>
  <c r="I47"/>
  <c r="I48"/>
  <c r="I49"/>
  <c r="H42"/>
  <c r="H43"/>
  <c r="H64" s="1"/>
  <c r="H44"/>
  <c r="H45"/>
  <c r="H46"/>
  <c r="H47"/>
  <c r="H48"/>
  <c r="H49"/>
  <c r="G43"/>
  <c r="G64" s="1"/>
  <c r="G44"/>
  <c r="G45"/>
  <c r="G46"/>
  <c r="G47"/>
  <c r="G48"/>
  <c r="G49"/>
  <c r="F43"/>
  <c r="F64" s="1"/>
  <c r="F44"/>
  <c r="F45"/>
  <c r="F46"/>
  <c r="F47"/>
  <c r="F48"/>
  <c r="F49"/>
  <c r="E43"/>
  <c r="E64" s="1"/>
  <c r="E44"/>
  <c r="E45"/>
  <c r="E46"/>
  <c r="E47"/>
  <c r="E48"/>
  <c r="E49"/>
  <c r="D44"/>
  <c r="D45"/>
  <c r="D46"/>
  <c r="D47"/>
  <c r="D48"/>
  <c r="D49"/>
  <c r="B16" i="65" l="1"/>
  <c r="C41" i="44"/>
  <c r="D7" i="65"/>
  <c r="E41" i="45"/>
  <c r="C16" i="65"/>
  <c r="H41" i="44"/>
  <c r="D15" i="65"/>
  <c r="F41" i="43"/>
  <c r="E12" i="65"/>
  <c r="G41" i="44"/>
  <c r="D13" i="65"/>
  <c r="I41" i="45"/>
  <c r="F41" i="44"/>
  <c r="D12" i="65"/>
  <c r="D41" i="45"/>
  <c r="E15" i="65"/>
  <c r="H41" i="43"/>
  <c r="M52" i="5"/>
  <c r="O38" i="9"/>
  <c r="C38" i="44" s="1"/>
  <c r="P38" i="9"/>
  <c r="D38" i="44" s="1"/>
  <c r="I38" i="45"/>
  <c r="G39" i="14"/>
  <c r="F38" i="43"/>
  <c r="B38" i="45"/>
  <c r="E38" i="44"/>
  <c r="H38" i="45"/>
  <c r="C50" i="14"/>
  <c r="C36" i="45"/>
  <c r="G36"/>
  <c r="E36"/>
  <c r="C49" i="8"/>
  <c r="B37" i="45" s="1"/>
  <c r="C48" i="8"/>
  <c r="B36" i="45" s="1"/>
  <c r="C47" i="8"/>
  <c r="C46"/>
  <c r="C45"/>
  <c r="C44"/>
  <c r="C43"/>
  <c r="C64" s="1"/>
  <c r="F41" i="45" l="1"/>
  <c r="H41"/>
  <c r="R38" i="5"/>
  <c r="P38"/>
  <c r="F38" i="45"/>
  <c r="S36" i="9"/>
  <c r="G36" i="44" s="1"/>
  <c r="I49" i="5"/>
  <c r="J49" i="9" s="1"/>
  <c r="I46" i="5"/>
  <c r="T38" i="9" l="1"/>
  <c r="R38"/>
  <c r="O36"/>
  <c r="C36" i="44" s="1"/>
  <c r="U36" i="9"/>
  <c r="I36" i="44" s="1"/>
  <c r="I48" i="5"/>
  <c r="J48" i="9" s="1"/>
  <c r="I47" i="5"/>
  <c r="I45"/>
  <c r="I5"/>
  <c r="R36" i="8"/>
  <c r="F36" i="43" s="1"/>
  <c r="F36" i="45" s="1"/>
  <c r="R32" i="8"/>
  <c r="R33"/>
  <c r="R34"/>
  <c r="R35"/>
  <c r="N36" i="4"/>
  <c r="I48"/>
  <c r="J48" i="8" s="1"/>
  <c r="I36" i="45" s="1"/>
  <c r="I47" i="4"/>
  <c r="J47" i="8" s="1"/>
  <c r="I46" i="4"/>
  <c r="J46" i="8" s="1"/>
  <c r="I45" i="4"/>
  <c r="J45" i="8" s="1"/>
  <c r="I44" i="4"/>
  <c r="J44" i="8" s="1"/>
  <c r="I43" i="4"/>
  <c r="I64" s="1"/>
  <c r="I42"/>
  <c r="J42" i="8" s="1"/>
  <c r="I38" i="4"/>
  <c r="G46" i="16"/>
  <c r="G47"/>
  <c r="G48"/>
  <c r="G49"/>
  <c r="G50"/>
  <c r="G51"/>
  <c r="F51"/>
  <c r="F7"/>
  <c r="F8"/>
  <c r="F9"/>
  <c r="F10"/>
  <c r="F11"/>
  <c r="F12"/>
  <c r="F13"/>
  <c r="F14"/>
  <c r="F15"/>
  <c r="F38" i="44" l="1"/>
  <c r="H38"/>
  <c r="O36" i="5"/>
  <c r="Q36" i="9" s="1"/>
  <c r="E36" i="44" s="1"/>
  <c r="J43" i="8"/>
  <c r="J64" s="1"/>
  <c r="P36"/>
  <c r="D36" i="43" s="1"/>
  <c r="D36" i="45" s="1"/>
  <c r="N36" i="5"/>
  <c r="P36" i="9" s="1"/>
  <c r="D36" i="44" s="1"/>
  <c r="R36" i="4"/>
  <c r="T36" i="8" s="1"/>
  <c r="H36" i="43" s="1"/>
  <c r="H36" i="45" s="1"/>
  <c r="J49" i="8"/>
  <c r="R37"/>
  <c r="N39" i="15"/>
  <c r="O39" s="1"/>
  <c r="N38"/>
  <c r="O38" s="1"/>
  <c r="G50"/>
  <c r="D50"/>
  <c r="D6"/>
  <c r="R38" i="66"/>
  <c r="Q38"/>
  <c r="P38"/>
  <c r="S38" l="1"/>
  <c r="G37" i="14" s="1"/>
  <c r="R36" i="5" s="1"/>
  <c r="T36" i="9" s="1"/>
  <c r="H36" i="44" s="1"/>
  <c r="C49" i="14"/>
  <c r="P36" i="5" l="1"/>
  <c r="R36" i="9" s="1"/>
  <c r="F36" i="44" s="1"/>
  <c r="O37" i="5"/>
  <c r="S35" i="9"/>
  <c r="G35" i="44" s="1"/>
  <c r="U35" i="9"/>
  <c r="B13" i="58"/>
  <c r="B13" i="57"/>
  <c r="D6"/>
  <c r="D38" s="1"/>
  <c r="E48" i="62"/>
  <c r="E47"/>
  <c r="E23"/>
  <c r="D23"/>
  <c r="B42"/>
  <c r="C42"/>
  <c r="C29"/>
  <c r="C22"/>
  <c r="C26"/>
  <c r="C23"/>
  <c r="N37" i="9"/>
  <c r="B44" i="65"/>
  <c r="C49" i="9"/>
  <c r="I37" i="43"/>
  <c r="G37"/>
  <c r="E37"/>
  <c r="C37"/>
  <c r="B7" i="58"/>
  <c r="B9"/>
  <c r="B10"/>
  <c r="B47" s="1"/>
  <c r="B12"/>
  <c r="B15"/>
  <c r="B7" i="57"/>
  <c r="B9"/>
  <c r="B22" s="1"/>
  <c r="B10"/>
  <c r="B12"/>
  <c r="B39" s="1"/>
  <c r="B15"/>
  <c r="B6" i="58"/>
  <c r="S37" i="9"/>
  <c r="C7" i="58"/>
  <c r="C9"/>
  <c r="C10"/>
  <c r="C25" s="1"/>
  <c r="C12"/>
  <c r="C39" s="1"/>
  <c r="C13"/>
  <c r="C15"/>
  <c r="C7" i="57"/>
  <c r="C9"/>
  <c r="C44" s="1"/>
  <c r="C10"/>
  <c r="C12"/>
  <c r="C13"/>
  <c r="C15"/>
  <c r="C6"/>
  <c r="C6" i="58"/>
  <c r="N37" i="4"/>
  <c r="G51" i="15"/>
  <c r="D51"/>
  <c r="Q39" i="66"/>
  <c r="R39"/>
  <c r="D6" i="58"/>
  <c r="B67" i="42"/>
  <c r="B59" i="9"/>
  <c r="M47" i="8"/>
  <c r="N5"/>
  <c r="B5" i="43" s="1"/>
  <c r="N6" i="8"/>
  <c r="B6" i="43" s="1"/>
  <c r="N7" i="8"/>
  <c r="B7" i="43" s="1"/>
  <c r="N8" i="8"/>
  <c r="B8" i="43" s="1"/>
  <c r="N9" i="8"/>
  <c r="B9" i="43" s="1"/>
  <c r="N10" i="8"/>
  <c r="B10" i="43" s="1"/>
  <c r="N11" i="8"/>
  <c r="B11" i="43" s="1"/>
  <c r="N12" i="8"/>
  <c r="N13"/>
  <c r="B13" i="43" s="1"/>
  <c r="N14" i="8"/>
  <c r="B14" i="43" s="1"/>
  <c r="N15" i="8"/>
  <c r="B15" i="43" s="1"/>
  <c r="N16" i="8"/>
  <c r="B16" i="43" s="1"/>
  <c r="N17" i="8"/>
  <c r="B17" i="43" s="1"/>
  <c r="N18" i="8"/>
  <c r="B18" i="43" s="1"/>
  <c r="N19" i="8"/>
  <c r="B19" i="43" s="1"/>
  <c r="N20" i="8"/>
  <c r="N21"/>
  <c r="N22"/>
  <c r="B22" i="43" s="1"/>
  <c r="N23" i="8"/>
  <c r="N50" s="1"/>
  <c r="N24"/>
  <c r="B24" i="43" s="1"/>
  <c r="N25" i="8"/>
  <c r="B25" i="43" s="1"/>
  <c r="N26" i="8"/>
  <c r="B26" i="43" s="1"/>
  <c r="N27" i="8"/>
  <c r="B27" i="43" s="1"/>
  <c r="N28" i="8"/>
  <c r="B28" i="43" s="1"/>
  <c r="B29"/>
  <c r="B32"/>
  <c r="B33"/>
  <c r="B34"/>
  <c r="B34" i="45" s="1"/>
  <c r="B35" i="43"/>
  <c r="N4" i="8"/>
  <c r="N52" s="1"/>
  <c r="L46" i="4"/>
  <c r="L47"/>
  <c r="L48"/>
  <c r="L45"/>
  <c r="AC25"/>
  <c r="AC26"/>
  <c r="AC28"/>
  <c r="R10" i="8"/>
  <c r="R11"/>
  <c r="F11" i="43" s="1"/>
  <c r="R12" i="8"/>
  <c r="F12" i="43" s="1"/>
  <c r="R13" i="8"/>
  <c r="F13" i="43" s="1"/>
  <c r="AC34" i="4"/>
  <c r="AC37"/>
  <c r="AC38"/>
  <c r="AC39"/>
  <c r="AC40"/>
  <c r="R21" i="8"/>
  <c r="F21" i="43" s="1"/>
  <c r="R22" i="8"/>
  <c r="F22" i="43" s="1"/>
  <c r="R24" i="8"/>
  <c r="AC46" i="4"/>
  <c r="R26" i="8"/>
  <c r="AC48" i="4"/>
  <c r="R29" i="8"/>
  <c r="F32" i="43"/>
  <c r="F33"/>
  <c r="F34"/>
  <c r="N5" i="4"/>
  <c r="N6"/>
  <c r="N6" i="5" s="1"/>
  <c r="P6" i="9" s="1"/>
  <c r="D6" i="44" s="1"/>
  <c r="N7" i="4"/>
  <c r="N7" i="5" s="1"/>
  <c r="P7" i="9" s="1"/>
  <c r="D7" i="44" s="1"/>
  <c r="N8" i="4"/>
  <c r="N8" i="5" s="1"/>
  <c r="P8" i="9" s="1"/>
  <c r="D8" i="44" s="1"/>
  <c r="N9" i="5"/>
  <c r="P9" i="9" s="1"/>
  <c r="D9" i="44" s="1"/>
  <c r="N10" i="4"/>
  <c r="N10" i="5" s="1"/>
  <c r="P10" i="9" s="1"/>
  <c r="D10" i="44" s="1"/>
  <c r="N11" i="4"/>
  <c r="R11" s="1"/>
  <c r="T11" i="8" s="1"/>
  <c r="H11" i="43" s="1"/>
  <c r="N12" i="4"/>
  <c r="N12" i="5" s="1"/>
  <c r="N13" i="4"/>
  <c r="N13" i="5" s="1"/>
  <c r="P13" i="9" s="1"/>
  <c r="D13" i="44" s="1"/>
  <c r="N14" i="4"/>
  <c r="N14" i="5" s="1"/>
  <c r="P14" i="9" s="1"/>
  <c r="D14" i="44" s="1"/>
  <c r="N15" i="4"/>
  <c r="N15" i="5" s="1"/>
  <c r="P15" i="9" s="1"/>
  <c r="D15" i="44" s="1"/>
  <c r="N16" i="4"/>
  <c r="N16" i="5" s="1"/>
  <c r="P16" i="9" s="1"/>
  <c r="D16" i="44" s="1"/>
  <c r="N17" i="4"/>
  <c r="R17" s="1"/>
  <c r="N18"/>
  <c r="N18" i="5" s="1"/>
  <c r="P18" i="9" s="1"/>
  <c r="D18" i="44" s="1"/>
  <c r="N19" i="4"/>
  <c r="R19" s="1"/>
  <c r="N20"/>
  <c r="N20" i="5" s="1"/>
  <c r="P20" i="9" s="1"/>
  <c r="D20" i="44" s="1"/>
  <c r="N21" i="4"/>
  <c r="R21" s="1"/>
  <c r="N22"/>
  <c r="N22" i="5" s="1"/>
  <c r="P22" i="9" s="1"/>
  <c r="D22" i="44" s="1"/>
  <c r="N23" i="4"/>
  <c r="N24"/>
  <c r="N24" i="5" s="1"/>
  <c r="P24" i="9" s="1"/>
  <c r="D24" i="44" s="1"/>
  <c r="N25" i="4"/>
  <c r="N25" i="5" s="1"/>
  <c r="P25" i="9" s="1"/>
  <c r="D25" i="44" s="1"/>
  <c r="N26" i="4"/>
  <c r="N26" i="5" s="1"/>
  <c r="P26" i="9" s="1"/>
  <c r="D26" i="44" s="1"/>
  <c r="N27" i="4"/>
  <c r="R27" s="1"/>
  <c r="T27" i="8" s="1"/>
  <c r="H27" i="43" s="1"/>
  <c r="N28" i="4"/>
  <c r="N28" i="5" s="1"/>
  <c r="P28" i="9" s="1"/>
  <c r="D28" i="44" s="1"/>
  <c r="N29" i="4"/>
  <c r="N29" i="5" s="1"/>
  <c r="N30" i="4"/>
  <c r="N30" i="5" s="1"/>
  <c r="P30" i="9" s="1"/>
  <c r="D30" i="44" s="1"/>
  <c r="N31" i="4"/>
  <c r="N32"/>
  <c r="R32" s="1"/>
  <c r="N33"/>
  <c r="N34"/>
  <c r="N35"/>
  <c r="E26" i="62"/>
  <c r="L47" i="5"/>
  <c r="C59"/>
  <c r="D59"/>
  <c r="E59"/>
  <c r="F59"/>
  <c r="G59"/>
  <c r="H59"/>
  <c r="B59"/>
  <c r="M48" i="4"/>
  <c r="O48"/>
  <c r="Q48"/>
  <c r="S48"/>
  <c r="C59"/>
  <c r="D59"/>
  <c r="E59"/>
  <c r="F59"/>
  <c r="G59"/>
  <c r="H59"/>
  <c r="B59"/>
  <c r="P48" i="16"/>
  <c r="Q48"/>
  <c r="R48"/>
  <c r="S48"/>
  <c r="V48"/>
  <c r="X48"/>
  <c r="Y48"/>
  <c r="Z48"/>
  <c r="AA48"/>
  <c r="P65"/>
  <c r="M50"/>
  <c r="N50"/>
  <c r="O50"/>
  <c r="P43"/>
  <c r="Q43"/>
  <c r="R43"/>
  <c r="S43"/>
  <c r="V43"/>
  <c r="X43"/>
  <c r="Y43"/>
  <c r="Z43"/>
  <c r="AA43"/>
  <c r="L50"/>
  <c r="C61"/>
  <c r="D61"/>
  <c r="E61"/>
  <c r="H61"/>
  <c r="I61"/>
  <c r="B61"/>
  <c r="K49" i="15"/>
  <c r="M49"/>
  <c r="J49"/>
  <c r="C61"/>
  <c r="E61"/>
  <c r="F61"/>
  <c r="B61"/>
  <c r="F45" i="14"/>
  <c r="B60"/>
  <c r="M46" i="66"/>
  <c r="N46"/>
  <c r="O46"/>
  <c r="M47"/>
  <c r="N47"/>
  <c r="O47"/>
  <c r="M48"/>
  <c r="N48"/>
  <c r="O48"/>
  <c r="M49"/>
  <c r="N49"/>
  <c r="O49"/>
  <c r="L49"/>
  <c r="L48"/>
  <c r="L47"/>
  <c r="L46"/>
  <c r="C57"/>
  <c r="D57"/>
  <c r="E57"/>
  <c r="C58"/>
  <c r="D58"/>
  <c r="E58"/>
  <c r="C59"/>
  <c r="D59"/>
  <c r="E59"/>
  <c r="C60"/>
  <c r="D60"/>
  <c r="E60"/>
  <c r="B59"/>
  <c r="B58"/>
  <c r="B57"/>
  <c r="A30" i="13"/>
  <c r="A29"/>
  <c r="A28"/>
  <c r="A27"/>
  <c r="A26"/>
  <c r="A25"/>
  <c r="A24"/>
  <c r="A23"/>
  <c r="A22"/>
  <c r="A21"/>
  <c r="A20"/>
  <c r="A19"/>
  <c r="A18"/>
  <c r="A17"/>
  <c r="A16"/>
  <c r="A15"/>
  <c r="A14"/>
  <c r="A13"/>
  <c r="A12"/>
  <c r="A11"/>
  <c r="A10"/>
  <c r="A9"/>
  <c r="A8"/>
  <c r="A7"/>
  <c r="A5"/>
  <c r="A6"/>
  <c r="A4"/>
  <c r="J55" i="45"/>
  <c r="O55"/>
  <c r="J56"/>
  <c r="O56"/>
  <c r="J51"/>
  <c r="O51"/>
  <c r="J52"/>
  <c r="J86"/>
  <c r="O52"/>
  <c r="O86" s="1"/>
  <c r="N35" i="9"/>
  <c r="B35" i="44" s="1"/>
  <c r="C47" i="9"/>
  <c r="D47"/>
  <c r="E47"/>
  <c r="F47"/>
  <c r="I47"/>
  <c r="U5" i="8"/>
  <c r="I5" i="43" s="1"/>
  <c r="U6" i="8"/>
  <c r="I6" i="43" s="1"/>
  <c r="U7" i="8"/>
  <c r="I7" i="43" s="1"/>
  <c r="U8" i="8"/>
  <c r="I8" i="43" s="1"/>
  <c r="U9" i="8"/>
  <c r="I9" i="43" s="1"/>
  <c r="U10" i="8"/>
  <c r="I10" i="43" s="1"/>
  <c r="U11" i="8"/>
  <c r="U12"/>
  <c r="I12" i="43" s="1"/>
  <c r="U13" i="8"/>
  <c r="I13" i="43" s="1"/>
  <c r="U14" i="8"/>
  <c r="I14" i="43" s="1"/>
  <c r="U15" i="8"/>
  <c r="U16"/>
  <c r="I16" i="43" s="1"/>
  <c r="U17" i="8"/>
  <c r="U18"/>
  <c r="I18" i="43" s="1"/>
  <c r="U19" i="8"/>
  <c r="I19" i="43" s="1"/>
  <c r="U20" i="8"/>
  <c r="I20" i="43" s="1"/>
  <c r="U21" i="8"/>
  <c r="I21" i="43" s="1"/>
  <c r="U22" i="8"/>
  <c r="I22" i="43" s="1"/>
  <c r="U23" i="8"/>
  <c r="U50" s="1"/>
  <c r="U24"/>
  <c r="I24" i="43" s="1"/>
  <c r="U25" i="8"/>
  <c r="I25" i="43" s="1"/>
  <c r="U26" i="8"/>
  <c r="I26" i="43" s="1"/>
  <c r="U27" i="8"/>
  <c r="I27" i="43" s="1"/>
  <c r="U28" i="8"/>
  <c r="I28" i="43" s="1"/>
  <c r="U29" i="8"/>
  <c r="I29" i="43" s="1"/>
  <c r="U30" i="8"/>
  <c r="I30" i="43" s="1"/>
  <c r="U31" i="8"/>
  <c r="U51" s="1"/>
  <c r="I32" i="43"/>
  <c r="I33"/>
  <c r="I34"/>
  <c r="I35"/>
  <c r="U4" i="8"/>
  <c r="U52" s="1"/>
  <c r="S5"/>
  <c r="G5" i="43" s="1"/>
  <c r="S6" i="8"/>
  <c r="G6" i="43" s="1"/>
  <c r="S7" i="8"/>
  <c r="G7" i="43" s="1"/>
  <c r="S8" i="8"/>
  <c r="G8" i="43" s="1"/>
  <c r="S9" i="8"/>
  <c r="G9" i="43" s="1"/>
  <c r="S10" i="8"/>
  <c r="S11"/>
  <c r="G11" i="43" s="1"/>
  <c r="S12" i="8"/>
  <c r="G12" i="43" s="1"/>
  <c r="S13" i="8"/>
  <c r="S14"/>
  <c r="G14" i="43" s="1"/>
  <c r="S15" i="8"/>
  <c r="G15" i="43" s="1"/>
  <c r="S16" i="8"/>
  <c r="G16" i="43" s="1"/>
  <c r="S17" i="8"/>
  <c r="S18"/>
  <c r="S19"/>
  <c r="G19" i="43" s="1"/>
  <c r="S20" i="8"/>
  <c r="G20" i="43" s="1"/>
  <c r="S21" i="8"/>
  <c r="G21" i="43" s="1"/>
  <c r="S22" i="8"/>
  <c r="G22" i="43" s="1"/>
  <c r="S23" i="8"/>
  <c r="S50" s="1"/>
  <c r="S24"/>
  <c r="G24" i="43" s="1"/>
  <c r="S25" i="8"/>
  <c r="S26"/>
  <c r="G26" i="43" s="1"/>
  <c r="S27" i="8"/>
  <c r="G27" i="43" s="1"/>
  <c r="S28" i="8"/>
  <c r="G28" i="43" s="1"/>
  <c r="S29" i="8"/>
  <c r="G29" i="43" s="1"/>
  <c r="S30" i="8"/>
  <c r="G30" i="43" s="1"/>
  <c r="S31" i="8"/>
  <c r="S51" s="1"/>
  <c r="G32" i="43"/>
  <c r="G33"/>
  <c r="G34"/>
  <c r="S4" i="8"/>
  <c r="S52" s="1"/>
  <c r="Q5"/>
  <c r="E5" i="43" s="1"/>
  <c r="Q6" i="8"/>
  <c r="E6" i="43" s="1"/>
  <c r="Q7" i="8"/>
  <c r="E7" i="43" s="1"/>
  <c r="Q8" i="8"/>
  <c r="E8" i="43" s="1"/>
  <c r="Q9" i="8"/>
  <c r="E9" i="43" s="1"/>
  <c r="Q10" i="8"/>
  <c r="E10" i="43" s="1"/>
  <c r="Q11" i="8"/>
  <c r="E11" i="43" s="1"/>
  <c r="Q12" i="8"/>
  <c r="Q13"/>
  <c r="E13" i="43" s="1"/>
  <c r="Q14" i="8"/>
  <c r="E14" i="43" s="1"/>
  <c r="Q15" i="8"/>
  <c r="E15" i="43" s="1"/>
  <c r="Q16" i="8"/>
  <c r="E16" i="43" s="1"/>
  <c r="Q17" i="8"/>
  <c r="E17" i="43" s="1"/>
  <c r="Q18" i="8"/>
  <c r="E18" i="43" s="1"/>
  <c r="Q19" i="8"/>
  <c r="E19" i="43" s="1"/>
  <c r="Q20" i="8"/>
  <c r="E20" i="43" s="1"/>
  <c r="Q21" i="8"/>
  <c r="E21" i="43" s="1"/>
  <c r="Q22" i="8"/>
  <c r="E22" i="43" s="1"/>
  <c r="Q23" i="8"/>
  <c r="Q50" s="1"/>
  <c r="Q24"/>
  <c r="E24" i="43" s="1"/>
  <c r="Q25" i="8"/>
  <c r="E25" i="43" s="1"/>
  <c r="Q26" i="8"/>
  <c r="E26" i="43" s="1"/>
  <c r="Q27" i="8"/>
  <c r="E27" i="43" s="1"/>
  <c r="Q28" i="8"/>
  <c r="E28" i="43" s="1"/>
  <c r="Q29" i="8"/>
  <c r="E29" i="43" s="1"/>
  <c r="Q30" i="8"/>
  <c r="E30" i="43" s="1"/>
  <c r="Q31" i="8"/>
  <c r="Q51" s="1"/>
  <c r="E32" i="43"/>
  <c r="E33"/>
  <c r="E34"/>
  <c r="E34" i="45" s="1"/>
  <c r="Q4" i="8"/>
  <c r="Q52" s="1"/>
  <c r="O5"/>
  <c r="C5" i="43" s="1"/>
  <c r="O6" i="8"/>
  <c r="C6" i="43" s="1"/>
  <c r="O7" i="8"/>
  <c r="C7" i="43" s="1"/>
  <c r="O8" i="8"/>
  <c r="C8" i="43" s="1"/>
  <c r="O9" i="8"/>
  <c r="C9" i="43" s="1"/>
  <c r="O10" i="8"/>
  <c r="C10" i="43" s="1"/>
  <c r="O11" i="8"/>
  <c r="O12"/>
  <c r="O13"/>
  <c r="C13" i="43" s="1"/>
  <c r="O14" i="8"/>
  <c r="C14" i="43" s="1"/>
  <c r="O15" i="8"/>
  <c r="O16"/>
  <c r="O17"/>
  <c r="C17" i="43" s="1"/>
  <c r="O18" i="8"/>
  <c r="C18" i="43" s="1"/>
  <c r="O19" i="8"/>
  <c r="O20"/>
  <c r="O21"/>
  <c r="O22"/>
  <c r="C22" i="43" s="1"/>
  <c r="O23" i="8"/>
  <c r="O50" s="1"/>
  <c r="O24"/>
  <c r="C24" i="43" s="1"/>
  <c r="O25" i="8"/>
  <c r="O26"/>
  <c r="C26" i="43" s="1"/>
  <c r="O27" i="8"/>
  <c r="C27" i="43" s="1"/>
  <c r="O28" i="8"/>
  <c r="C28" i="43" s="1"/>
  <c r="C29"/>
  <c r="C30"/>
  <c r="C32"/>
  <c r="C33"/>
  <c r="O4" i="8"/>
  <c r="O52" s="1"/>
  <c r="E41" i="58"/>
  <c r="E32"/>
  <c r="C28" i="62"/>
  <c r="B39"/>
  <c r="U5" i="9"/>
  <c r="I5" i="44" s="1"/>
  <c r="U6" i="9"/>
  <c r="I6" i="44" s="1"/>
  <c r="U7" i="9"/>
  <c r="I7" i="44" s="1"/>
  <c r="U8" i="9"/>
  <c r="I8" i="44" s="1"/>
  <c r="U9" i="9"/>
  <c r="I9" i="44" s="1"/>
  <c r="U10" i="9"/>
  <c r="I10" i="44" s="1"/>
  <c r="U11" i="9"/>
  <c r="I11" i="44" s="1"/>
  <c r="U12" i="9"/>
  <c r="I12" i="44" s="1"/>
  <c r="U13" i="9"/>
  <c r="I13" i="44" s="1"/>
  <c r="U14" i="9"/>
  <c r="I14" i="44" s="1"/>
  <c r="U15" i="9"/>
  <c r="I15" i="44" s="1"/>
  <c r="U16" i="9"/>
  <c r="I16" i="44" s="1"/>
  <c r="U17" i="9"/>
  <c r="I17" i="44" s="1"/>
  <c r="U18" i="9"/>
  <c r="I18" i="44" s="1"/>
  <c r="U19" i="9"/>
  <c r="I19" i="44" s="1"/>
  <c r="U20" i="9"/>
  <c r="I20" i="44" s="1"/>
  <c r="U21" i="9"/>
  <c r="I21" i="44" s="1"/>
  <c r="U22" i="9"/>
  <c r="I22" i="44" s="1"/>
  <c r="U24" i="9"/>
  <c r="I24" i="44" s="1"/>
  <c r="U25" i="9"/>
  <c r="I25" i="44" s="1"/>
  <c r="U26" i="9"/>
  <c r="I26" i="44" s="1"/>
  <c r="U27" i="9"/>
  <c r="I27" i="44" s="1"/>
  <c r="U28" i="9"/>
  <c r="I28" i="44" s="1"/>
  <c r="U29" i="9"/>
  <c r="I29" i="44" s="1"/>
  <c r="U30" i="9"/>
  <c r="I30" i="44" s="1"/>
  <c r="U32" i="9"/>
  <c r="I32" i="44" s="1"/>
  <c r="U33" i="9"/>
  <c r="I33" i="44" s="1"/>
  <c r="U34" i="9"/>
  <c r="I34" i="44" s="1"/>
  <c r="S5" i="9"/>
  <c r="G5" i="44" s="1"/>
  <c r="S6" i="9"/>
  <c r="G6" i="44" s="1"/>
  <c r="S7" i="9"/>
  <c r="G7" i="44" s="1"/>
  <c r="S8" i="9"/>
  <c r="G8" i="44" s="1"/>
  <c r="S9" i="9"/>
  <c r="G9" i="44" s="1"/>
  <c r="S10" i="9"/>
  <c r="G10" i="44" s="1"/>
  <c r="S11" i="9"/>
  <c r="G11" i="44" s="1"/>
  <c r="S12" i="9"/>
  <c r="G12" i="44" s="1"/>
  <c r="S13" i="9"/>
  <c r="G13" i="44" s="1"/>
  <c r="S14" i="9"/>
  <c r="G14" i="44" s="1"/>
  <c r="S15" i="9"/>
  <c r="G15" i="44" s="1"/>
  <c r="S16" i="9"/>
  <c r="G16" i="44" s="1"/>
  <c r="S17" i="9"/>
  <c r="G17" i="44" s="1"/>
  <c r="S18" i="9"/>
  <c r="G18" i="44" s="1"/>
  <c r="S19" i="9"/>
  <c r="G19" i="44" s="1"/>
  <c r="S20" i="9"/>
  <c r="G20" i="44" s="1"/>
  <c r="S21" i="9"/>
  <c r="G21" i="44" s="1"/>
  <c r="S22" i="9"/>
  <c r="G22" i="44" s="1"/>
  <c r="S24" i="9"/>
  <c r="G24" i="44" s="1"/>
  <c r="S25" i="9"/>
  <c r="G25" i="44" s="1"/>
  <c r="S26" i="9"/>
  <c r="G26" i="44" s="1"/>
  <c r="S27" i="9"/>
  <c r="G27" i="44" s="1"/>
  <c r="S28" i="9"/>
  <c r="G28" i="44" s="1"/>
  <c r="S29" i="9"/>
  <c r="G29" i="44" s="1"/>
  <c r="S30" i="9"/>
  <c r="G30" i="44" s="1"/>
  <c r="S32" i="9"/>
  <c r="G32" i="44" s="1"/>
  <c r="S33" i="9"/>
  <c r="G33" i="44" s="1"/>
  <c r="S34" i="9"/>
  <c r="G34" i="44" s="1"/>
  <c r="Q5" i="9"/>
  <c r="E5" i="44" s="1"/>
  <c r="O6" i="9"/>
  <c r="C6" i="44" s="1"/>
  <c r="O8" i="9"/>
  <c r="C8" i="44" s="1"/>
  <c r="O9" i="5"/>
  <c r="Q9" i="9" s="1"/>
  <c r="E9" i="44" s="1"/>
  <c r="O10" i="9"/>
  <c r="C10" i="44" s="1"/>
  <c r="O11" i="9"/>
  <c r="C11" i="44" s="1"/>
  <c r="O12" i="9"/>
  <c r="C12" i="44" s="1"/>
  <c r="O13" i="5"/>
  <c r="Q13" i="9" s="1"/>
  <c r="E13" i="44" s="1"/>
  <c r="O14" i="9"/>
  <c r="C14" i="44" s="1"/>
  <c r="O15" i="9"/>
  <c r="C15" i="44" s="1"/>
  <c r="O17" i="9"/>
  <c r="C17" i="44" s="1"/>
  <c r="O18" i="5"/>
  <c r="Q18" i="9" s="1"/>
  <c r="E18" i="44" s="1"/>
  <c r="O19" i="9"/>
  <c r="C19" i="44" s="1"/>
  <c r="O21" i="5"/>
  <c r="Q21" i="9" s="1"/>
  <c r="E21" i="44" s="1"/>
  <c r="O22" i="5"/>
  <c r="Q22" i="9" s="1"/>
  <c r="E22" i="44" s="1"/>
  <c r="O24" i="9"/>
  <c r="C24" i="44" s="1"/>
  <c r="O25" i="5"/>
  <c r="Q25" i="9" s="1"/>
  <c r="E25" i="44" s="1"/>
  <c r="O26" i="5"/>
  <c r="Q26" i="9" s="1"/>
  <c r="E26" i="44" s="1"/>
  <c r="O27" i="5"/>
  <c r="Q27" i="9" s="1"/>
  <c r="E27" i="44" s="1"/>
  <c r="O28" i="9"/>
  <c r="C28" i="44" s="1"/>
  <c r="O29" i="5"/>
  <c r="Q29" i="9" s="1"/>
  <c r="E29" i="44" s="1"/>
  <c r="O30" i="9"/>
  <c r="C30" i="44" s="1"/>
  <c r="O32" i="9"/>
  <c r="C32" i="44" s="1"/>
  <c r="O34" i="5"/>
  <c r="Q34" i="9" s="1"/>
  <c r="E34" i="44" s="1"/>
  <c r="M46" i="4"/>
  <c r="O46"/>
  <c r="Q46"/>
  <c r="S46"/>
  <c r="M47"/>
  <c r="O47"/>
  <c r="Q47"/>
  <c r="S47"/>
  <c r="M45"/>
  <c r="O45"/>
  <c r="Q45"/>
  <c r="S45"/>
  <c r="AB40"/>
  <c r="R19" i="8"/>
  <c r="F19" i="43" s="1"/>
  <c r="I5" i="4"/>
  <c r="Y13" s="1"/>
  <c r="I6"/>
  <c r="J6" i="8" s="1"/>
  <c r="I7" i="4"/>
  <c r="J7" i="8" s="1"/>
  <c r="I8" i="4"/>
  <c r="Y16" s="1"/>
  <c r="I9"/>
  <c r="J9" i="8" s="1"/>
  <c r="I10" i="4"/>
  <c r="Y18" s="1"/>
  <c r="I11"/>
  <c r="J11" i="8" s="1"/>
  <c r="I12" i="4"/>
  <c r="J12" i="8" s="1"/>
  <c r="I13" i="4"/>
  <c r="J13" i="8" s="1"/>
  <c r="I14" i="4"/>
  <c r="Y22" s="1"/>
  <c r="I15"/>
  <c r="J15" i="8" s="1"/>
  <c r="I16" i="4"/>
  <c r="I62" s="1"/>
  <c r="I17"/>
  <c r="Y25" s="1"/>
  <c r="I18"/>
  <c r="Y26" s="1"/>
  <c r="I19"/>
  <c r="Y27" s="1"/>
  <c r="I20"/>
  <c r="J20" i="8" s="1"/>
  <c r="I21" i="4"/>
  <c r="Y29" s="1"/>
  <c r="I22"/>
  <c r="J22" i="8" s="1"/>
  <c r="I23" i="4"/>
  <c r="Y31" s="1"/>
  <c r="I24"/>
  <c r="I56" s="1"/>
  <c r="I25"/>
  <c r="J25" i="8" s="1"/>
  <c r="I26" i="4"/>
  <c r="J26" i="8" s="1"/>
  <c r="I27" i="4"/>
  <c r="J27" i="8" s="1"/>
  <c r="I28" i="4"/>
  <c r="Y37" s="1"/>
  <c r="I29"/>
  <c r="J29" i="8" s="1"/>
  <c r="I30" i="4"/>
  <c r="Y39" s="1"/>
  <c r="I31"/>
  <c r="Y40" s="1"/>
  <c r="I32"/>
  <c r="J32" i="8" s="1"/>
  <c r="I33" i="4"/>
  <c r="Y42" s="1"/>
  <c r="I34"/>
  <c r="Y43" s="1"/>
  <c r="I35"/>
  <c r="I63" s="1"/>
  <c r="I36"/>
  <c r="J36" i="8" s="1"/>
  <c r="I37" i="4"/>
  <c r="J37" i="8" s="1"/>
  <c r="J38"/>
  <c r="I39" i="4"/>
  <c r="J39" i="8" s="1"/>
  <c r="I40" i="4"/>
  <c r="I41"/>
  <c r="J41" i="8" s="1"/>
  <c r="M49" i="16"/>
  <c r="N49"/>
  <c r="O49"/>
  <c r="L49"/>
  <c r="M48"/>
  <c r="N48"/>
  <c r="O48"/>
  <c r="L48"/>
  <c r="M47"/>
  <c r="N47"/>
  <c r="O47"/>
  <c r="L47"/>
  <c r="F49"/>
  <c r="G7"/>
  <c r="G8"/>
  <c r="G9"/>
  <c r="G10"/>
  <c r="G11"/>
  <c r="G12"/>
  <c r="G13"/>
  <c r="G14"/>
  <c r="G15"/>
  <c r="G16"/>
  <c r="G17"/>
  <c r="G18"/>
  <c r="G19"/>
  <c r="G20"/>
  <c r="G21"/>
  <c r="G22"/>
  <c r="G23"/>
  <c r="G24"/>
  <c r="G25"/>
  <c r="G26"/>
  <c r="G58" s="1"/>
  <c r="G27"/>
  <c r="G28"/>
  <c r="G29"/>
  <c r="G30"/>
  <c r="G31"/>
  <c r="G32"/>
  <c r="G33"/>
  <c r="G34"/>
  <c r="G35"/>
  <c r="G36"/>
  <c r="G37"/>
  <c r="G38"/>
  <c r="G39"/>
  <c r="G40"/>
  <c r="G41"/>
  <c r="G42"/>
  <c r="G43"/>
  <c r="G44"/>
  <c r="G45"/>
  <c r="G6"/>
  <c r="F16"/>
  <c r="F17"/>
  <c r="F18"/>
  <c r="F19"/>
  <c r="F20"/>
  <c r="F21"/>
  <c r="F22"/>
  <c r="F23"/>
  <c r="F24"/>
  <c r="F25"/>
  <c r="F26"/>
  <c r="F58" s="1"/>
  <c r="F27"/>
  <c r="F28"/>
  <c r="F29"/>
  <c r="F30"/>
  <c r="F31"/>
  <c r="F32"/>
  <c r="F33"/>
  <c r="F34"/>
  <c r="F35"/>
  <c r="F36"/>
  <c r="F37"/>
  <c r="F38"/>
  <c r="F39"/>
  <c r="F40"/>
  <c r="F41"/>
  <c r="F42"/>
  <c r="F43"/>
  <c r="F44"/>
  <c r="F45"/>
  <c r="F46"/>
  <c r="F47"/>
  <c r="F48"/>
  <c r="F6"/>
  <c r="K48" i="15"/>
  <c r="M48"/>
  <c r="J48"/>
  <c r="K47"/>
  <c r="M47"/>
  <c r="J47"/>
  <c r="K46"/>
  <c r="M46"/>
  <c r="J46"/>
  <c r="Q32"/>
  <c r="Q35"/>
  <c r="Q36"/>
  <c r="P39"/>
  <c r="Q43"/>
  <c r="Q47"/>
  <c r="P48"/>
  <c r="P52"/>
  <c r="Q53"/>
  <c r="N37"/>
  <c r="N7"/>
  <c r="O7" s="1"/>
  <c r="N8"/>
  <c r="N9"/>
  <c r="O9" s="1"/>
  <c r="N10"/>
  <c r="O10" s="1"/>
  <c r="N11"/>
  <c r="N12"/>
  <c r="N13"/>
  <c r="N14"/>
  <c r="N46" s="1"/>
  <c r="N15"/>
  <c r="N16"/>
  <c r="N17"/>
  <c r="O17" s="1"/>
  <c r="N18"/>
  <c r="O18" s="1"/>
  <c r="N19"/>
  <c r="N20"/>
  <c r="N21"/>
  <c r="O21" s="1"/>
  <c r="N22"/>
  <c r="O22" s="1"/>
  <c r="N23"/>
  <c r="O23" s="1"/>
  <c r="N24"/>
  <c r="O24" s="1"/>
  <c r="N25"/>
  <c r="N26"/>
  <c r="N27"/>
  <c r="N28"/>
  <c r="N29"/>
  <c r="O29" s="1"/>
  <c r="N30"/>
  <c r="O30" s="1"/>
  <c r="N31"/>
  <c r="N32"/>
  <c r="O32" s="1"/>
  <c r="N33"/>
  <c r="N34"/>
  <c r="O34" s="1"/>
  <c r="N35"/>
  <c r="O35" s="1"/>
  <c r="N36"/>
  <c r="O36" s="1"/>
  <c r="Q27"/>
  <c r="Q40"/>
  <c r="Q52"/>
  <c r="Q26"/>
  <c r="Q30"/>
  <c r="Q34"/>
  <c r="Q38"/>
  <c r="Q42"/>
  <c r="Q46"/>
  <c r="Q51"/>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F7" i="66"/>
  <c r="G7"/>
  <c r="H7"/>
  <c r="F8"/>
  <c r="G8"/>
  <c r="H8"/>
  <c r="G9"/>
  <c r="H9"/>
  <c r="F10"/>
  <c r="G10"/>
  <c r="H10"/>
  <c r="F11"/>
  <c r="G11"/>
  <c r="H11"/>
  <c r="F12"/>
  <c r="G12"/>
  <c r="H12"/>
  <c r="F13"/>
  <c r="G13"/>
  <c r="H13"/>
  <c r="F14"/>
  <c r="G14"/>
  <c r="H14"/>
  <c r="F15"/>
  <c r="G15"/>
  <c r="H15"/>
  <c r="F16"/>
  <c r="G16"/>
  <c r="H16"/>
  <c r="F17"/>
  <c r="G17"/>
  <c r="H17"/>
  <c r="F18"/>
  <c r="F63" s="1"/>
  <c r="G18"/>
  <c r="G63" s="1"/>
  <c r="H18"/>
  <c r="H63" s="1"/>
  <c r="F19"/>
  <c r="G19"/>
  <c r="H19"/>
  <c r="F20"/>
  <c r="G20"/>
  <c r="H20"/>
  <c r="F21"/>
  <c r="G21"/>
  <c r="H21"/>
  <c r="F22"/>
  <c r="G22"/>
  <c r="H22"/>
  <c r="F23"/>
  <c r="G23"/>
  <c r="H23"/>
  <c r="F24"/>
  <c r="G24"/>
  <c r="H24"/>
  <c r="F25"/>
  <c r="G25"/>
  <c r="H25"/>
  <c r="F26"/>
  <c r="F57" s="1"/>
  <c r="G26"/>
  <c r="H26"/>
  <c r="H57" s="1"/>
  <c r="F27"/>
  <c r="G27"/>
  <c r="H27"/>
  <c r="F28"/>
  <c r="G28"/>
  <c r="H28"/>
  <c r="F29"/>
  <c r="G29"/>
  <c r="H29"/>
  <c r="F30"/>
  <c r="G30"/>
  <c r="H30"/>
  <c r="F31"/>
  <c r="G31"/>
  <c r="H31"/>
  <c r="F32"/>
  <c r="G32"/>
  <c r="H32"/>
  <c r="F33"/>
  <c r="G33"/>
  <c r="H33"/>
  <c r="F34"/>
  <c r="G34"/>
  <c r="H34"/>
  <c r="F35"/>
  <c r="G35"/>
  <c r="H35"/>
  <c r="F36"/>
  <c r="G36"/>
  <c r="H36"/>
  <c r="F37"/>
  <c r="F64" s="1"/>
  <c r="G37"/>
  <c r="G64" s="1"/>
  <c r="H37"/>
  <c r="H64" s="1"/>
  <c r="F38"/>
  <c r="G38"/>
  <c r="H38"/>
  <c r="F39"/>
  <c r="G39"/>
  <c r="H39"/>
  <c r="F40"/>
  <c r="G40"/>
  <c r="H40"/>
  <c r="F41"/>
  <c r="G41"/>
  <c r="H41"/>
  <c r="F42"/>
  <c r="G42"/>
  <c r="H42"/>
  <c r="F43"/>
  <c r="G43"/>
  <c r="H43"/>
  <c r="F44"/>
  <c r="G44"/>
  <c r="H44"/>
  <c r="F45"/>
  <c r="F65" s="1"/>
  <c r="G45"/>
  <c r="G65" s="1"/>
  <c r="H45"/>
  <c r="H65" s="1"/>
  <c r="F46"/>
  <c r="G46"/>
  <c r="H46"/>
  <c r="F47"/>
  <c r="G47"/>
  <c r="H47"/>
  <c r="F48"/>
  <c r="G48"/>
  <c r="H48"/>
  <c r="F49"/>
  <c r="G49"/>
  <c r="H49"/>
  <c r="K3" i="45"/>
  <c r="L3"/>
  <c r="M3"/>
  <c r="N3"/>
  <c r="J85"/>
  <c r="O85"/>
  <c r="B64" i="42"/>
  <c r="B65"/>
  <c r="B66"/>
  <c r="A22" i="61"/>
  <c r="A23"/>
  <c r="A25"/>
  <c r="A26"/>
  <c r="A28"/>
  <c r="A29"/>
  <c r="A31"/>
  <c r="A32"/>
  <c r="A38"/>
  <c r="A39"/>
  <c r="A41"/>
  <c r="A42"/>
  <c r="A44"/>
  <c r="A45"/>
  <c r="A47"/>
  <c r="A48"/>
  <c r="A22" i="60"/>
  <c r="A23"/>
  <c r="A25"/>
  <c r="A26"/>
  <c r="A28"/>
  <c r="A29"/>
  <c r="A31"/>
  <c r="A32"/>
  <c r="A38"/>
  <c r="A39"/>
  <c r="A41"/>
  <c r="A42"/>
  <c r="A44"/>
  <c r="A45"/>
  <c r="A47"/>
  <c r="A48"/>
  <c r="A22" i="65"/>
  <c r="A23"/>
  <c r="A25"/>
  <c r="A26"/>
  <c r="A28"/>
  <c r="A29"/>
  <c r="A31"/>
  <c r="A32"/>
  <c r="A38"/>
  <c r="A39"/>
  <c r="A41"/>
  <c r="A42"/>
  <c r="A44"/>
  <c r="A45"/>
  <c r="A47"/>
  <c r="A48"/>
  <c r="C4" i="9"/>
  <c r="E4"/>
  <c r="G4"/>
  <c r="I4"/>
  <c r="C5"/>
  <c r="E5"/>
  <c r="G5"/>
  <c r="I5"/>
  <c r="C6"/>
  <c r="E6"/>
  <c r="G6"/>
  <c r="I6"/>
  <c r="C7"/>
  <c r="E7"/>
  <c r="G7"/>
  <c r="I7"/>
  <c r="C8"/>
  <c r="E8"/>
  <c r="G8"/>
  <c r="I8"/>
  <c r="C9"/>
  <c r="E9"/>
  <c r="G9"/>
  <c r="I9"/>
  <c r="C10"/>
  <c r="E10"/>
  <c r="G10"/>
  <c r="I10"/>
  <c r="C11"/>
  <c r="E11"/>
  <c r="G11"/>
  <c r="I11"/>
  <c r="C12"/>
  <c r="E12"/>
  <c r="G12"/>
  <c r="I12"/>
  <c r="C13"/>
  <c r="E13"/>
  <c r="G13"/>
  <c r="I13"/>
  <c r="C14"/>
  <c r="E14"/>
  <c r="G14"/>
  <c r="I14"/>
  <c r="C15"/>
  <c r="E15"/>
  <c r="G15"/>
  <c r="I15"/>
  <c r="C16"/>
  <c r="C62" s="1"/>
  <c r="E16"/>
  <c r="E62" s="1"/>
  <c r="G16"/>
  <c r="G62" s="1"/>
  <c r="I16"/>
  <c r="I62" s="1"/>
  <c r="N4"/>
  <c r="N52" s="1"/>
  <c r="C17"/>
  <c r="E17"/>
  <c r="G17"/>
  <c r="I17"/>
  <c r="N5"/>
  <c r="B5" i="44" s="1"/>
  <c r="C18" i="9"/>
  <c r="E18"/>
  <c r="G18"/>
  <c r="I18"/>
  <c r="N6"/>
  <c r="B6" i="44" s="1"/>
  <c r="C19" i="9"/>
  <c r="E19"/>
  <c r="G19"/>
  <c r="I19"/>
  <c r="N7"/>
  <c r="B7" i="44" s="1"/>
  <c r="C20" i="9"/>
  <c r="E20"/>
  <c r="G20"/>
  <c r="I20"/>
  <c r="N8"/>
  <c r="B8" i="44" s="1"/>
  <c r="C21" i="9"/>
  <c r="E21"/>
  <c r="G21"/>
  <c r="I21"/>
  <c r="N9"/>
  <c r="B9" i="44" s="1"/>
  <c r="C22" i="9"/>
  <c r="E22"/>
  <c r="G22"/>
  <c r="I22"/>
  <c r="N10"/>
  <c r="B10" i="44" s="1"/>
  <c r="C23" i="9"/>
  <c r="E23"/>
  <c r="G23"/>
  <c r="I23"/>
  <c r="N11"/>
  <c r="B11" i="44" s="1"/>
  <c r="C24" i="9"/>
  <c r="E24"/>
  <c r="G24"/>
  <c r="I24"/>
  <c r="N12"/>
  <c r="N44" s="1"/>
  <c r="C25"/>
  <c r="E25"/>
  <c r="G25"/>
  <c r="I25"/>
  <c r="N13"/>
  <c r="B13" i="44" s="1"/>
  <c r="C26" i="9"/>
  <c r="E26"/>
  <c r="G26"/>
  <c r="I26"/>
  <c r="N14"/>
  <c r="B14" i="44" s="1"/>
  <c r="C27" i="9"/>
  <c r="E27"/>
  <c r="G27"/>
  <c r="I27"/>
  <c r="N15"/>
  <c r="B15" i="44" s="1"/>
  <c r="C28" i="9"/>
  <c r="E28"/>
  <c r="G28"/>
  <c r="I28"/>
  <c r="N16"/>
  <c r="B16" i="44" s="1"/>
  <c r="C29" i="9"/>
  <c r="E29"/>
  <c r="G29"/>
  <c r="I29"/>
  <c r="N17"/>
  <c r="B17" i="44" s="1"/>
  <c r="C30" i="9"/>
  <c r="E30"/>
  <c r="G30"/>
  <c r="I30"/>
  <c r="N18"/>
  <c r="B18" i="44" s="1"/>
  <c r="C31" i="9"/>
  <c r="E31"/>
  <c r="G31"/>
  <c r="I31"/>
  <c r="N19"/>
  <c r="B19" i="44" s="1"/>
  <c r="C32" i="9"/>
  <c r="E32"/>
  <c r="G32"/>
  <c r="I32"/>
  <c r="N20"/>
  <c r="B20" i="44" s="1"/>
  <c r="C33" i="9"/>
  <c r="E33"/>
  <c r="G33"/>
  <c r="I33"/>
  <c r="N21"/>
  <c r="B21" i="44" s="1"/>
  <c r="C34" i="9"/>
  <c r="E34"/>
  <c r="G34"/>
  <c r="I34"/>
  <c r="N22"/>
  <c r="B22" i="44" s="1"/>
  <c r="C35" i="9"/>
  <c r="C63" s="1"/>
  <c r="E35"/>
  <c r="E63" s="1"/>
  <c r="G35"/>
  <c r="G63" s="1"/>
  <c r="I35"/>
  <c r="I63" s="1"/>
  <c r="N23"/>
  <c r="N50" s="1"/>
  <c r="C36"/>
  <c r="E36"/>
  <c r="G36"/>
  <c r="I36"/>
  <c r="N24"/>
  <c r="B24" i="44" s="1"/>
  <c r="C37" i="9"/>
  <c r="E37"/>
  <c r="G37"/>
  <c r="I37"/>
  <c r="N25"/>
  <c r="B25" i="44" s="1"/>
  <c r="C38" i="9"/>
  <c r="E38"/>
  <c r="G38"/>
  <c r="I38"/>
  <c r="N26"/>
  <c r="B26" i="44" s="1"/>
  <c r="C39" i="9"/>
  <c r="E39"/>
  <c r="G39"/>
  <c r="I39"/>
  <c r="N27"/>
  <c r="B27" i="44" s="1"/>
  <c r="C40" i="9"/>
  <c r="E40"/>
  <c r="G40"/>
  <c r="I40"/>
  <c r="N28"/>
  <c r="B28" i="44" s="1"/>
  <c r="C41" i="9"/>
  <c r="E41"/>
  <c r="G41"/>
  <c r="I41"/>
  <c r="N29"/>
  <c r="B29" i="44" s="1"/>
  <c r="C42" i="9"/>
  <c r="E42"/>
  <c r="G42"/>
  <c r="I42"/>
  <c r="N30"/>
  <c r="B30" i="44" s="1"/>
  <c r="C43" i="9"/>
  <c r="C64" s="1"/>
  <c r="E43"/>
  <c r="E64" s="1"/>
  <c r="G43"/>
  <c r="G64" s="1"/>
  <c r="I43"/>
  <c r="I64" s="1"/>
  <c r="N31"/>
  <c r="N51" s="1"/>
  <c r="C44"/>
  <c r="E44"/>
  <c r="G44"/>
  <c r="I44"/>
  <c r="N32"/>
  <c r="B32" i="44" s="1"/>
  <c r="C45" i="9"/>
  <c r="E45"/>
  <c r="G45"/>
  <c r="I45"/>
  <c r="N33"/>
  <c r="B33" i="44" s="1"/>
  <c r="C46" i="9"/>
  <c r="E46"/>
  <c r="G46"/>
  <c r="I46"/>
  <c r="P34" i="44" s="1"/>
  <c r="N34" i="9"/>
  <c r="B34" i="44" s="1"/>
  <c r="M47" i="9"/>
  <c r="B56"/>
  <c r="M44"/>
  <c r="B57"/>
  <c r="M45"/>
  <c r="B58"/>
  <c r="M46"/>
  <c r="L4" i="45"/>
  <c r="K5"/>
  <c r="L5"/>
  <c r="K6"/>
  <c r="L6"/>
  <c r="L7"/>
  <c r="K8"/>
  <c r="K9"/>
  <c r="L9"/>
  <c r="K10"/>
  <c r="L10"/>
  <c r="L11"/>
  <c r="C4" i="8"/>
  <c r="D4"/>
  <c r="E4"/>
  <c r="F4"/>
  <c r="G4"/>
  <c r="H4"/>
  <c r="I4"/>
  <c r="C5"/>
  <c r="D5"/>
  <c r="E5"/>
  <c r="F5"/>
  <c r="G5"/>
  <c r="H5"/>
  <c r="I5"/>
  <c r="C6"/>
  <c r="D6"/>
  <c r="E6"/>
  <c r="F6"/>
  <c r="G6"/>
  <c r="H6"/>
  <c r="I6"/>
  <c r="C7"/>
  <c r="D7"/>
  <c r="E7"/>
  <c r="F7"/>
  <c r="G7"/>
  <c r="H7"/>
  <c r="I7"/>
  <c r="C8"/>
  <c r="D8"/>
  <c r="E8"/>
  <c r="F8"/>
  <c r="G8"/>
  <c r="H8"/>
  <c r="I8"/>
  <c r="C9"/>
  <c r="D9"/>
  <c r="E9"/>
  <c r="F9"/>
  <c r="G9"/>
  <c r="H9"/>
  <c r="I9"/>
  <c r="C10"/>
  <c r="D10"/>
  <c r="E10"/>
  <c r="F10"/>
  <c r="G10"/>
  <c r="H10"/>
  <c r="I10"/>
  <c r="C11"/>
  <c r="D11"/>
  <c r="E11"/>
  <c r="F11"/>
  <c r="G11"/>
  <c r="H11"/>
  <c r="I11"/>
  <c r="C12"/>
  <c r="D12"/>
  <c r="E12"/>
  <c r="F12"/>
  <c r="G12"/>
  <c r="H12"/>
  <c r="I12"/>
  <c r="C13"/>
  <c r="D13"/>
  <c r="E13"/>
  <c r="F13"/>
  <c r="G13"/>
  <c r="H13"/>
  <c r="I13"/>
  <c r="C14"/>
  <c r="D14"/>
  <c r="E14"/>
  <c r="F14"/>
  <c r="G14"/>
  <c r="H14"/>
  <c r="I14"/>
  <c r="C15"/>
  <c r="D15"/>
  <c r="E15"/>
  <c r="F15"/>
  <c r="G15"/>
  <c r="H15"/>
  <c r="I15"/>
  <c r="C16"/>
  <c r="C65" s="1"/>
  <c r="D16"/>
  <c r="D65" s="1"/>
  <c r="E16"/>
  <c r="E65" s="1"/>
  <c r="F16"/>
  <c r="F65" s="1"/>
  <c r="G16"/>
  <c r="G65" s="1"/>
  <c r="H16"/>
  <c r="H65" s="1"/>
  <c r="I16"/>
  <c r="I65" s="1"/>
  <c r="C17"/>
  <c r="D17"/>
  <c r="E17"/>
  <c r="F17"/>
  <c r="G17"/>
  <c r="G56" s="1"/>
  <c r="H17"/>
  <c r="H56" s="1"/>
  <c r="I17"/>
  <c r="C18"/>
  <c r="D18"/>
  <c r="E18"/>
  <c r="F18"/>
  <c r="G18"/>
  <c r="H18"/>
  <c r="I18"/>
  <c r="C19"/>
  <c r="D19"/>
  <c r="E19"/>
  <c r="F19"/>
  <c r="G19"/>
  <c r="H19"/>
  <c r="I19"/>
  <c r="C20"/>
  <c r="B8" i="45" s="1"/>
  <c r="D20" i="8"/>
  <c r="E20"/>
  <c r="F20"/>
  <c r="G20"/>
  <c r="H20"/>
  <c r="I20"/>
  <c r="C21"/>
  <c r="D21"/>
  <c r="E21"/>
  <c r="F21"/>
  <c r="G21"/>
  <c r="H21"/>
  <c r="I21"/>
  <c r="C22"/>
  <c r="D22"/>
  <c r="E22"/>
  <c r="F22"/>
  <c r="G22"/>
  <c r="H22"/>
  <c r="I22"/>
  <c r="C23"/>
  <c r="D23"/>
  <c r="E23"/>
  <c r="F23"/>
  <c r="G23"/>
  <c r="H23"/>
  <c r="I23"/>
  <c r="C24"/>
  <c r="C58" s="1"/>
  <c r="D24"/>
  <c r="D58" s="1"/>
  <c r="E24"/>
  <c r="E58" s="1"/>
  <c r="F24"/>
  <c r="G24"/>
  <c r="G58" s="1"/>
  <c r="H24"/>
  <c r="I24"/>
  <c r="C25"/>
  <c r="D25"/>
  <c r="E25"/>
  <c r="F25"/>
  <c r="G25"/>
  <c r="H25"/>
  <c r="I25"/>
  <c r="C26"/>
  <c r="D26"/>
  <c r="E26"/>
  <c r="F26"/>
  <c r="G26"/>
  <c r="H26"/>
  <c r="I26"/>
  <c r="C27"/>
  <c r="D27"/>
  <c r="E27"/>
  <c r="F27"/>
  <c r="G27"/>
  <c r="H27"/>
  <c r="I27"/>
  <c r="C28"/>
  <c r="B16" i="45" s="1"/>
  <c r="D28" i="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C34"/>
  <c r="D34"/>
  <c r="E34"/>
  <c r="F34"/>
  <c r="G34"/>
  <c r="H34"/>
  <c r="I34"/>
  <c r="C35"/>
  <c r="C63" s="1"/>
  <c r="D35"/>
  <c r="D63" s="1"/>
  <c r="E35"/>
  <c r="E63" s="1"/>
  <c r="F35"/>
  <c r="F63" s="1"/>
  <c r="G35"/>
  <c r="G63" s="1"/>
  <c r="H35"/>
  <c r="H63" s="1"/>
  <c r="I35"/>
  <c r="I63" s="1"/>
  <c r="C36"/>
  <c r="D36"/>
  <c r="E36"/>
  <c r="F36"/>
  <c r="G36"/>
  <c r="H36"/>
  <c r="I36"/>
  <c r="C37"/>
  <c r="D37"/>
  <c r="E37"/>
  <c r="F37"/>
  <c r="G37"/>
  <c r="H37"/>
  <c r="I37"/>
  <c r="C38"/>
  <c r="D38"/>
  <c r="E38"/>
  <c r="F38"/>
  <c r="G38"/>
  <c r="H38"/>
  <c r="I38"/>
  <c r="C39"/>
  <c r="D39"/>
  <c r="E39"/>
  <c r="F39"/>
  <c r="G39"/>
  <c r="H39"/>
  <c r="I39"/>
  <c r="C40"/>
  <c r="D40"/>
  <c r="E40"/>
  <c r="F40"/>
  <c r="G40"/>
  <c r="H40"/>
  <c r="I40"/>
  <c r="C41"/>
  <c r="D41"/>
  <c r="E41"/>
  <c r="F41"/>
  <c r="G41"/>
  <c r="H41"/>
  <c r="I41"/>
  <c r="C42"/>
  <c r="D42"/>
  <c r="E42"/>
  <c r="F42"/>
  <c r="G42"/>
  <c r="B30" i="43"/>
  <c r="D43" i="8"/>
  <c r="D64" s="1"/>
  <c r="B56"/>
  <c r="B57"/>
  <c r="B58"/>
  <c r="M44"/>
  <c r="B59"/>
  <c r="M45"/>
  <c r="B60"/>
  <c r="M46"/>
  <c r="A22" i="58"/>
  <c r="A23"/>
  <c r="A25"/>
  <c r="A26"/>
  <c r="A28"/>
  <c r="A29"/>
  <c r="A31"/>
  <c r="A32"/>
  <c r="A38"/>
  <c r="A39"/>
  <c r="A41"/>
  <c r="A42"/>
  <c r="A44"/>
  <c r="A45"/>
  <c r="A47"/>
  <c r="A48"/>
  <c r="A22" i="57"/>
  <c r="A23"/>
  <c r="A25"/>
  <c r="A26"/>
  <c r="A28"/>
  <c r="A29"/>
  <c r="A31"/>
  <c r="A32"/>
  <c r="A38"/>
  <c r="A39"/>
  <c r="A41"/>
  <c r="A42"/>
  <c r="A44"/>
  <c r="A45"/>
  <c r="A47"/>
  <c r="A48"/>
  <c r="M8" i="62"/>
  <c r="N8"/>
  <c r="A22"/>
  <c r="A23"/>
  <c r="A25"/>
  <c r="A26"/>
  <c r="A28"/>
  <c r="A29"/>
  <c r="A31"/>
  <c r="A32"/>
  <c r="A38"/>
  <c r="A39"/>
  <c r="A41"/>
  <c r="A42"/>
  <c r="A44"/>
  <c r="A45"/>
  <c r="A47"/>
  <c r="A48"/>
  <c r="D4" i="9"/>
  <c r="F4"/>
  <c r="H4"/>
  <c r="J4"/>
  <c r="D5"/>
  <c r="F5"/>
  <c r="H5"/>
  <c r="J5"/>
  <c r="D6"/>
  <c r="F6"/>
  <c r="H6"/>
  <c r="I6" i="5"/>
  <c r="J6" i="9" s="1"/>
  <c r="D7"/>
  <c r="F7"/>
  <c r="H7"/>
  <c r="I7" i="5"/>
  <c r="J7" i="9" s="1"/>
  <c r="D8"/>
  <c r="I8" i="5"/>
  <c r="J8" i="9" s="1"/>
  <c r="D9"/>
  <c r="F9"/>
  <c r="H9"/>
  <c r="I9" i="5"/>
  <c r="J9" i="9" s="1"/>
  <c r="D10"/>
  <c r="F10"/>
  <c r="H10"/>
  <c r="I10" i="5"/>
  <c r="J10" i="9" s="1"/>
  <c r="D11"/>
  <c r="F11"/>
  <c r="H11"/>
  <c r="I11" i="5"/>
  <c r="J11" i="9" s="1"/>
  <c r="D12"/>
  <c r="F12"/>
  <c r="H12"/>
  <c r="I12" i="5"/>
  <c r="J12" i="9" s="1"/>
  <c r="D13"/>
  <c r="F13"/>
  <c r="H13"/>
  <c r="I13" i="5"/>
  <c r="J13" i="9" s="1"/>
  <c r="D14"/>
  <c r="F14"/>
  <c r="H14"/>
  <c r="I14" i="5"/>
  <c r="J14" i="9" s="1"/>
  <c r="H15"/>
  <c r="I15" i="5"/>
  <c r="J15" i="9" s="1"/>
  <c r="D16"/>
  <c r="D62" s="1"/>
  <c r="I16" i="5"/>
  <c r="I62" s="1"/>
  <c r="F17" i="9"/>
  <c r="I17" i="5"/>
  <c r="J17" i="9" s="1"/>
  <c r="D18"/>
  <c r="F18"/>
  <c r="H18"/>
  <c r="I18" i="5"/>
  <c r="J18" i="9" s="1"/>
  <c r="D19"/>
  <c r="F19"/>
  <c r="H19"/>
  <c r="I19" i="5"/>
  <c r="J19" i="9" s="1"/>
  <c r="D20"/>
  <c r="F20"/>
  <c r="H20"/>
  <c r="I20" i="5"/>
  <c r="J20" i="9" s="1"/>
  <c r="D21"/>
  <c r="F21"/>
  <c r="H21"/>
  <c r="I21" i="5"/>
  <c r="J21" i="9" s="1"/>
  <c r="D22"/>
  <c r="F22"/>
  <c r="H22"/>
  <c r="I22" i="5"/>
  <c r="J22" i="9" s="1"/>
  <c r="D23"/>
  <c r="F23"/>
  <c r="H23"/>
  <c r="I23" i="5"/>
  <c r="J23" i="9" s="1"/>
  <c r="H24"/>
  <c r="I24" i="5"/>
  <c r="D25" i="9"/>
  <c r="F25"/>
  <c r="H25"/>
  <c r="I25" i="5"/>
  <c r="J25" i="9" s="1"/>
  <c r="D26"/>
  <c r="F26"/>
  <c r="H26"/>
  <c r="I26" i="5"/>
  <c r="J26" i="9" s="1"/>
  <c r="D27"/>
  <c r="F27"/>
  <c r="H27"/>
  <c r="I27" i="5"/>
  <c r="J27" i="9" s="1"/>
  <c r="D28"/>
  <c r="F28"/>
  <c r="H28"/>
  <c r="I28" i="5"/>
  <c r="J28" i="9" s="1"/>
  <c r="D29"/>
  <c r="F29"/>
  <c r="H29"/>
  <c r="I29" i="5"/>
  <c r="J29" i="9" s="1"/>
  <c r="D30"/>
  <c r="F30"/>
  <c r="H30"/>
  <c r="I30" i="5"/>
  <c r="J30" i="9" s="1"/>
  <c r="D31"/>
  <c r="F31"/>
  <c r="H31"/>
  <c r="I31" i="5"/>
  <c r="J31" i="9" s="1"/>
  <c r="D32"/>
  <c r="F32"/>
  <c r="H32"/>
  <c r="I32" i="5"/>
  <c r="J32" i="9" s="1"/>
  <c r="D33"/>
  <c r="F33"/>
  <c r="H33"/>
  <c r="I33" i="5"/>
  <c r="J33" i="9" s="1"/>
  <c r="D34"/>
  <c r="F34"/>
  <c r="H34"/>
  <c r="I34" i="5"/>
  <c r="J34" i="9" s="1"/>
  <c r="I35" i="5"/>
  <c r="I63" s="1"/>
  <c r="D36" i="9"/>
  <c r="F36"/>
  <c r="H36"/>
  <c r="I36" i="5"/>
  <c r="J36" i="9" s="1"/>
  <c r="D37"/>
  <c r="F37"/>
  <c r="H37"/>
  <c r="I37" i="5"/>
  <c r="J37" i="9" s="1"/>
  <c r="D38"/>
  <c r="F38"/>
  <c r="H38"/>
  <c r="I38" i="5"/>
  <c r="J38" i="9" s="1"/>
  <c r="D39"/>
  <c r="F39"/>
  <c r="H39"/>
  <c r="I39" i="5"/>
  <c r="J39" i="9" s="1"/>
  <c r="D40"/>
  <c r="F40"/>
  <c r="H40"/>
  <c r="I40" i="5"/>
  <c r="J40" i="9" s="1"/>
  <c r="D41"/>
  <c r="F41"/>
  <c r="H41"/>
  <c r="I41" i="5"/>
  <c r="J41" i="9" s="1"/>
  <c r="D42"/>
  <c r="F42"/>
  <c r="H42"/>
  <c r="I42" i="5"/>
  <c r="J42" i="9" s="1"/>
  <c r="D43"/>
  <c r="D64" s="1"/>
  <c r="I43" i="5"/>
  <c r="I64" s="1"/>
  <c r="D44" i="9"/>
  <c r="F44"/>
  <c r="H44"/>
  <c r="I44" i="5"/>
  <c r="J44" i="9" s="1"/>
  <c r="D45"/>
  <c r="F45"/>
  <c r="H45"/>
  <c r="J45"/>
  <c r="J46"/>
  <c r="B56" i="5"/>
  <c r="D56"/>
  <c r="F56"/>
  <c r="H56"/>
  <c r="L44"/>
  <c r="B57"/>
  <c r="D57"/>
  <c r="F57"/>
  <c r="H57"/>
  <c r="L45"/>
  <c r="B58"/>
  <c r="D58"/>
  <c r="F58"/>
  <c r="H58"/>
  <c r="L46"/>
  <c r="M5" i="45"/>
  <c r="V5" i="4"/>
  <c r="W5"/>
  <c r="X5"/>
  <c r="Y5"/>
  <c r="AA5"/>
  <c r="AB5"/>
  <c r="V6"/>
  <c r="W6"/>
  <c r="X6"/>
  <c r="Y6"/>
  <c r="AA6"/>
  <c r="AB6"/>
  <c r="V7"/>
  <c r="W7"/>
  <c r="X7"/>
  <c r="Y7"/>
  <c r="AA7"/>
  <c r="AB7"/>
  <c r="M8" i="45"/>
  <c r="V8" i="4"/>
  <c r="W8"/>
  <c r="X8"/>
  <c r="Y8"/>
  <c r="AA8"/>
  <c r="AB8"/>
  <c r="N9" i="45"/>
  <c r="V9" i="4"/>
  <c r="W9"/>
  <c r="X9"/>
  <c r="Y9"/>
  <c r="AA9"/>
  <c r="AB9"/>
  <c r="N10" i="45"/>
  <c r="V10" i="4"/>
  <c r="W10"/>
  <c r="X10"/>
  <c r="Y10"/>
  <c r="AA10"/>
  <c r="AB10"/>
  <c r="M11" i="45"/>
  <c r="V11" i="4"/>
  <c r="W11"/>
  <c r="X11"/>
  <c r="Y11"/>
  <c r="AA11"/>
  <c r="AB11"/>
  <c r="V12"/>
  <c r="W12"/>
  <c r="X12"/>
  <c r="AA12"/>
  <c r="AB12"/>
  <c r="V13"/>
  <c r="W13"/>
  <c r="X13"/>
  <c r="AA13"/>
  <c r="AB13"/>
  <c r="V14"/>
  <c r="W14"/>
  <c r="X14"/>
  <c r="AA14"/>
  <c r="AB14"/>
  <c r="V15"/>
  <c r="W15"/>
  <c r="X15"/>
  <c r="AA15"/>
  <c r="AB15"/>
  <c r="AD16"/>
  <c r="V16"/>
  <c r="W16"/>
  <c r="X16"/>
  <c r="AA16"/>
  <c r="AB16"/>
  <c r="V17"/>
  <c r="W17"/>
  <c r="X17"/>
  <c r="AA17"/>
  <c r="AB17"/>
  <c r="V18"/>
  <c r="W18"/>
  <c r="X18"/>
  <c r="AA18"/>
  <c r="AB18"/>
  <c r="V19"/>
  <c r="W19"/>
  <c r="X19"/>
  <c r="AA19"/>
  <c r="AB19"/>
  <c r="M20" i="45"/>
  <c r="V20" i="4"/>
  <c r="W20"/>
  <c r="X20"/>
  <c r="AA20"/>
  <c r="AB20"/>
  <c r="V21"/>
  <c r="W21"/>
  <c r="X21"/>
  <c r="AA21"/>
  <c r="AB21"/>
  <c r="V22"/>
  <c r="W22"/>
  <c r="X22"/>
  <c r="AA22"/>
  <c r="AB22"/>
  <c r="V23"/>
  <c r="W23"/>
  <c r="X23"/>
  <c r="AA23"/>
  <c r="AB23"/>
  <c r="V24"/>
  <c r="W24"/>
  <c r="X24"/>
  <c r="AA24"/>
  <c r="V25"/>
  <c r="W25"/>
  <c r="X25"/>
  <c r="AA25"/>
  <c r="V26"/>
  <c r="W26"/>
  <c r="X26"/>
  <c r="AA26"/>
  <c r="V27"/>
  <c r="W27"/>
  <c r="X27"/>
  <c r="AA27"/>
  <c r="V28"/>
  <c r="W28"/>
  <c r="X28"/>
  <c r="AA28"/>
  <c r="V29"/>
  <c r="W29"/>
  <c r="X29"/>
  <c r="AA29"/>
  <c r="V30"/>
  <c r="W30"/>
  <c r="X30"/>
  <c r="AA30"/>
  <c r="V31"/>
  <c r="W31"/>
  <c r="X31"/>
  <c r="AA31"/>
  <c r="V32"/>
  <c r="W32"/>
  <c r="X32"/>
  <c r="AA32"/>
  <c r="V33"/>
  <c r="W33"/>
  <c r="X33"/>
  <c r="AA33"/>
  <c r="V34"/>
  <c r="W34"/>
  <c r="X34"/>
  <c r="AA34"/>
  <c r="V35"/>
  <c r="W35"/>
  <c r="X35"/>
  <c r="AA35"/>
  <c r="V37"/>
  <c r="W37"/>
  <c r="X37"/>
  <c r="AA37"/>
  <c r="V38"/>
  <c r="W38"/>
  <c r="X38"/>
  <c r="AA38"/>
  <c r="V39"/>
  <c r="W39"/>
  <c r="X39"/>
  <c r="AA39"/>
  <c r="V40"/>
  <c r="W40"/>
  <c r="X40"/>
  <c r="AA40"/>
  <c r="V41"/>
  <c r="W41"/>
  <c r="X41"/>
  <c r="AA41"/>
  <c r="V42"/>
  <c r="W42"/>
  <c r="X42"/>
  <c r="AA42"/>
  <c r="V43"/>
  <c r="W43"/>
  <c r="X43"/>
  <c r="AA43"/>
  <c r="V44"/>
  <c r="W44"/>
  <c r="X44"/>
  <c r="AA44"/>
  <c r="V45"/>
  <c r="W45"/>
  <c r="X45"/>
  <c r="AA45"/>
  <c r="V46"/>
  <c r="W46"/>
  <c r="X46"/>
  <c r="AA46"/>
  <c r="V47"/>
  <c r="W47"/>
  <c r="X47"/>
  <c r="AA47"/>
  <c r="V48"/>
  <c r="W48"/>
  <c r="X48"/>
  <c r="AA48"/>
  <c r="V55"/>
  <c r="W55"/>
  <c r="X55"/>
  <c r="AA55"/>
  <c r="V56"/>
  <c r="W56"/>
  <c r="X56"/>
  <c r="AA56"/>
  <c r="V57"/>
  <c r="W57"/>
  <c r="X57"/>
  <c r="AA57"/>
  <c r="V58"/>
  <c r="W58"/>
  <c r="X58"/>
  <c r="AA58"/>
  <c r="B56"/>
  <c r="C56"/>
  <c r="D56"/>
  <c r="E56"/>
  <c r="F56"/>
  <c r="G56"/>
  <c r="H56"/>
  <c r="B57"/>
  <c r="C57"/>
  <c r="D57"/>
  <c r="E57"/>
  <c r="F57"/>
  <c r="G57"/>
  <c r="H57"/>
  <c r="B58"/>
  <c r="C58"/>
  <c r="D58"/>
  <c r="E58"/>
  <c r="F58"/>
  <c r="G58"/>
  <c r="H58"/>
  <c r="B83"/>
  <c r="C83" s="1"/>
  <c r="B84"/>
  <c r="C84" s="1"/>
  <c r="B85"/>
  <c r="C85" s="1"/>
  <c r="B86"/>
  <c r="C86" s="1"/>
  <c r="B87"/>
  <c r="C87" s="1"/>
  <c r="B88"/>
  <c r="C88" s="1"/>
  <c r="B89"/>
  <c r="C89" s="1"/>
  <c r="B90"/>
  <c r="C90" s="1"/>
  <c r="B91"/>
  <c r="C91" s="1"/>
  <c r="B92"/>
  <c r="C92" s="1"/>
  <c r="B93"/>
  <c r="C93" s="1"/>
  <c r="B94"/>
  <c r="C94" s="1"/>
  <c r="B95"/>
  <c r="C95" s="1"/>
  <c r="T12" i="16"/>
  <c r="U12"/>
  <c r="T13"/>
  <c r="U13"/>
  <c r="T14"/>
  <c r="U14"/>
  <c r="T15"/>
  <c r="U15"/>
  <c r="T16"/>
  <c r="U16"/>
  <c r="T17"/>
  <c r="U17"/>
  <c r="T18"/>
  <c r="U18"/>
  <c r="T19"/>
  <c r="U19"/>
  <c r="T20"/>
  <c r="U20"/>
  <c r="T21"/>
  <c r="U21"/>
  <c r="T22"/>
  <c r="U22"/>
  <c r="T23"/>
  <c r="U23"/>
  <c r="T24"/>
  <c r="U24"/>
  <c r="T25"/>
  <c r="U25"/>
  <c r="W25"/>
  <c r="T26"/>
  <c r="U26"/>
  <c r="W26"/>
  <c r="T27"/>
  <c r="U27"/>
  <c r="W27"/>
  <c r="T28"/>
  <c r="U28"/>
  <c r="W28"/>
  <c r="T29"/>
  <c r="U29"/>
  <c r="W29"/>
  <c r="T30"/>
  <c r="U30"/>
  <c r="W30"/>
  <c r="T31"/>
  <c r="U31"/>
  <c r="W31"/>
  <c r="T32"/>
  <c r="U32"/>
  <c r="W32"/>
  <c r="T33"/>
  <c r="T43" s="1"/>
  <c r="U33"/>
  <c r="U43" s="1"/>
  <c r="W33"/>
  <c r="W43" s="1"/>
  <c r="T34"/>
  <c r="U34"/>
  <c r="W34"/>
  <c r="T35"/>
  <c r="U35"/>
  <c r="W35"/>
  <c r="T36"/>
  <c r="U36"/>
  <c r="W36"/>
  <c r="T37"/>
  <c r="T48" s="1"/>
  <c r="U37"/>
  <c r="U48" s="1"/>
  <c r="W37"/>
  <c r="W48" s="1"/>
  <c r="T38"/>
  <c r="U38"/>
  <c r="W38"/>
  <c r="T40"/>
  <c r="U40"/>
  <c r="W40"/>
  <c r="T41"/>
  <c r="U41"/>
  <c r="W41"/>
  <c r="T42"/>
  <c r="U42"/>
  <c r="W42"/>
  <c r="T44"/>
  <c r="U44"/>
  <c r="W44"/>
  <c r="T45"/>
  <c r="U45"/>
  <c r="W45"/>
  <c r="T46"/>
  <c r="U46"/>
  <c r="W46"/>
  <c r="T47"/>
  <c r="U47"/>
  <c r="W47"/>
  <c r="B58"/>
  <c r="C58"/>
  <c r="D58"/>
  <c r="E58"/>
  <c r="H58"/>
  <c r="I58"/>
  <c r="B59"/>
  <c r="C59"/>
  <c r="D59"/>
  <c r="E59"/>
  <c r="H59"/>
  <c r="I59"/>
  <c r="P64"/>
  <c r="B60"/>
  <c r="C60"/>
  <c r="D60"/>
  <c r="E60"/>
  <c r="H60"/>
  <c r="I60"/>
  <c r="P68"/>
  <c r="P69"/>
  <c r="P70"/>
  <c r="P71"/>
  <c r="P72"/>
  <c r="P6" i="15"/>
  <c r="P7"/>
  <c r="Q9"/>
  <c r="P10"/>
  <c r="Q10"/>
  <c r="Q11"/>
  <c r="Q13"/>
  <c r="P14"/>
  <c r="P15"/>
  <c r="Q15"/>
  <c r="Q16"/>
  <c r="Q17"/>
  <c r="Q18"/>
  <c r="P19"/>
  <c r="Q21"/>
  <c r="P22"/>
  <c r="Q23"/>
  <c r="Q25"/>
  <c r="S25"/>
  <c r="S26"/>
  <c r="S27"/>
  <c r="Q28"/>
  <c r="S28"/>
  <c r="Q29"/>
  <c r="S29"/>
  <c r="S30"/>
  <c r="Q31"/>
  <c r="S31"/>
  <c r="S32"/>
  <c r="Q33"/>
  <c r="S33"/>
  <c r="S34"/>
  <c r="S35"/>
  <c r="S36"/>
  <c r="Q37"/>
  <c r="S37"/>
  <c r="S38"/>
  <c r="S39"/>
  <c r="S40"/>
  <c r="Q41"/>
  <c r="S41"/>
  <c r="S42"/>
  <c r="S43"/>
  <c r="Q44"/>
  <c r="S44"/>
  <c r="Q45"/>
  <c r="S45"/>
  <c r="S46"/>
  <c r="S47"/>
  <c r="S48"/>
  <c r="Q50"/>
  <c r="S50"/>
  <c r="S51"/>
  <c r="S52"/>
  <c r="S53"/>
  <c r="Q54"/>
  <c r="S54"/>
  <c r="B58"/>
  <c r="C58"/>
  <c r="E58"/>
  <c r="F58"/>
  <c r="B59"/>
  <c r="C59"/>
  <c r="E59"/>
  <c r="F59"/>
  <c r="B60"/>
  <c r="C60"/>
  <c r="E60"/>
  <c r="F60"/>
  <c r="B57" i="14"/>
  <c r="B58"/>
  <c r="B59"/>
  <c r="F46"/>
  <c r="F47"/>
  <c r="F48"/>
  <c r="P7" i="66"/>
  <c r="Q7"/>
  <c r="R7"/>
  <c r="P8"/>
  <c r="Q8"/>
  <c r="R8"/>
  <c r="P9"/>
  <c r="Q9"/>
  <c r="R9"/>
  <c r="P10"/>
  <c r="Q10"/>
  <c r="R10"/>
  <c r="P11"/>
  <c r="Q11"/>
  <c r="R11"/>
  <c r="P12"/>
  <c r="Q12"/>
  <c r="R12"/>
  <c r="P13"/>
  <c r="Q13"/>
  <c r="R13"/>
  <c r="P14"/>
  <c r="Q14"/>
  <c r="R14"/>
  <c r="R46" s="1"/>
  <c r="P15"/>
  <c r="Q15"/>
  <c r="R15"/>
  <c r="P16"/>
  <c r="Q16"/>
  <c r="R16"/>
  <c r="P17"/>
  <c r="Q17"/>
  <c r="R17"/>
  <c r="P18"/>
  <c r="Q18"/>
  <c r="R18"/>
  <c r="P19"/>
  <c r="Q19"/>
  <c r="R19"/>
  <c r="P20"/>
  <c r="Q20"/>
  <c r="R20"/>
  <c r="P21"/>
  <c r="Q21"/>
  <c r="R21"/>
  <c r="P22"/>
  <c r="Q22"/>
  <c r="R22"/>
  <c r="P23"/>
  <c r="Q23"/>
  <c r="R23"/>
  <c r="P24"/>
  <c r="Q24"/>
  <c r="R24"/>
  <c r="P25"/>
  <c r="Q25"/>
  <c r="R25"/>
  <c r="P26"/>
  <c r="Q26"/>
  <c r="R26"/>
  <c r="P27"/>
  <c r="Q27"/>
  <c r="R27"/>
  <c r="P28"/>
  <c r="Q28"/>
  <c r="R28"/>
  <c r="P29"/>
  <c r="Q29"/>
  <c r="R29"/>
  <c r="P30"/>
  <c r="Q30"/>
  <c r="R30"/>
  <c r="P31"/>
  <c r="Q31"/>
  <c r="R31"/>
  <c r="P32"/>
  <c r="Q32"/>
  <c r="R32"/>
  <c r="P33"/>
  <c r="Q33"/>
  <c r="R33"/>
  <c r="P34"/>
  <c r="Q34"/>
  <c r="R34"/>
  <c r="P35"/>
  <c r="Q35"/>
  <c r="R35"/>
  <c r="P36"/>
  <c r="Q36"/>
  <c r="R36"/>
  <c r="P37"/>
  <c r="Q37"/>
  <c r="R37"/>
  <c r="Q22" i="15"/>
  <c r="Q7"/>
  <c r="Q19"/>
  <c r="P23"/>
  <c r="Q14"/>
  <c r="P18"/>
  <c r="P11"/>
  <c r="Q6"/>
  <c r="P20"/>
  <c r="P16"/>
  <c r="P54"/>
  <c r="P50"/>
  <c r="P45"/>
  <c r="P41"/>
  <c r="P37"/>
  <c r="P33"/>
  <c r="P31"/>
  <c r="P29"/>
  <c r="P25"/>
  <c r="P9"/>
  <c r="P24"/>
  <c r="Q20"/>
  <c r="P8"/>
  <c r="P13"/>
  <c r="Q24"/>
  <c r="P12"/>
  <c r="Q8"/>
  <c r="P21"/>
  <c r="P51"/>
  <c r="P46"/>
  <c r="P44"/>
  <c r="P42"/>
  <c r="P40"/>
  <c r="P38"/>
  <c r="P34"/>
  <c r="P32"/>
  <c r="P30"/>
  <c r="P28"/>
  <c r="P26"/>
  <c r="P17"/>
  <c r="Q12"/>
  <c r="AD15" i="4"/>
  <c r="AC20"/>
  <c r="AD21"/>
  <c r="AD6"/>
  <c r="AD5"/>
  <c r="AD19"/>
  <c r="AD11"/>
  <c r="AD12"/>
  <c r="AC19"/>
  <c r="N11" i="45"/>
  <c r="AC9" i="4"/>
  <c r="N6" i="45"/>
  <c r="N5"/>
  <c r="AC11" i="4"/>
  <c r="AC6"/>
  <c r="AC13"/>
  <c r="AD10"/>
  <c r="H17" i="9"/>
  <c r="AC8" i="4"/>
  <c r="AD18"/>
  <c r="AC14"/>
  <c r="AC12"/>
  <c r="AD23"/>
  <c r="AD7"/>
  <c r="AD9"/>
  <c r="AC15"/>
  <c r="AD14"/>
  <c r="AD20"/>
  <c r="AC17"/>
  <c r="H46" i="9"/>
  <c r="AC5" i="4"/>
  <c r="AD22"/>
  <c r="AC22"/>
  <c r="AD17"/>
  <c r="M9" i="45"/>
  <c r="N7"/>
  <c r="M10"/>
  <c r="AC10" i="4"/>
  <c r="AC23"/>
  <c r="AC21"/>
  <c r="AC16"/>
  <c r="M7" i="45"/>
  <c r="AC7" i="4"/>
  <c r="AC18"/>
  <c r="AD13"/>
  <c r="N8" i="45"/>
  <c r="AD8" i="4"/>
  <c r="P35" i="15"/>
  <c r="P53"/>
  <c r="P27"/>
  <c r="P43"/>
  <c r="Q48"/>
  <c r="Q39"/>
  <c r="P36"/>
  <c r="P47"/>
  <c r="Y23" i="8"/>
  <c r="D17" i="9"/>
  <c r="F15"/>
  <c r="H8"/>
  <c r="C58" i="5"/>
  <c r="D24" i="9"/>
  <c r="E56" i="5"/>
  <c r="F16" i="9"/>
  <c r="F62" s="1"/>
  <c r="F35"/>
  <c r="F63" s="1"/>
  <c r="E58" i="5"/>
  <c r="D15" i="9"/>
  <c r="F43"/>
  <c r="F64" s="1"/>
  <c r="C56" i="5"/>
  <c r="H16" i="9"/>
  <c r="H62" s="1"/>
  <c r="G56" i="5"/>
  <c r="F46" i="9"/>
  <c r="H43"/>
  <c r="H64" s="1"/>
  <c r="G58" i="5"/>
  <c r="F8" i="9"/>
  <c r="G57" i="5"/>
  <c r="H35" i="9"/>
  <c r="H63" s="1"/>
  <c r="D46"/>
  <c r="C57" i="5"/>
  <c r="D35" i="9"/>
  <c r="D63" s="1"/>
  <c r="F24"/>
  <c r="M12" i="44" s="1"/>
  <c r="E57" i="5"/>
  <c r="K20" i="45"/>
  <c r="N16"/>
  <c r="N15"/>
  <c r="M23"/>
  <c r="N12"/>
  <c r="N14"/>
  <c r="L21"/>
  <c r="L18"/>
  <c r="K13"/>
  <c r="K12"/>
  <c r="M12"/>
  <c r="N18"/>
  <c r="N19"/>
  <c r="N21"/>
  <c r="M19"/>
  <c r="K22"/>
  <c r="K19"/>
  <c r="M13"/>
  <c r="L23"/>
  <c r="L56" s="1"/>
  <c r="L22"/>
  <c r="K17"/>
  <c r="L15"/>
  <c r="N13"/>
  <c r="M22"/>
  <c r="L17"/>
  <c r="K15"/>
  <c r="L13"/>
  <c r="M16"/>
  <c r="K4"/>
  <c r="K21"/>
  <c r="L14"/>
  <c r="M15"/>
  <c r="M21"/>
  <c r="K14"/>
  <c r="W23" i="8"/>
  <c r="M14" i="45"/>
  <c r="L12"/>
  <c r="L55"/>
  <c r="M18"/>
  <c r="K18"/>
  <c r="N22"/>
  <c r="L20"/>
  <c r="L8"/>
  <c r="N20"/>
  <c r="M17"/>
  <c r="L19"/>
  <c r="N17"/>
  <c r="K11"/>
  <c r="K7"/>
  <c r="M4"/>
  <c r="X23" i="8"/>
  <c r="V23"/>
  <c r="M6" i="45"/>
  <c r="L16"/>
  <c r="K23"/>
  <c r="K51"/>
  <c r="K16"/>
  <c r="N4"/>
  <c r="N55" s="1"/>
  <c r="N23"/>
  <c r="N85"/>
  <c r="P15" i="8"/>
  <c r="D15" i="43" s="1"/>
  <c r="N49" i="15"/>
  <c r="O20"/>
  <c r="O16"/>
  <c r="G58"/>
  <c r="O26"/>
  <c r="G60"/>
  <c r="N48"/>
  <c r="O12"/>
  <c r="O14"/>
  <c r="O19"/>
  <c r="O37"/>
  <c r="O13"/>
  <c r="J18" i="8"/>
  <c r="I6" i="45" s="1"/>
  <c r="J10" i="8"/>
  <c r="K85" i="45"/>
  <c r="K55"/>
  <c r="K56"/>
  <c r="N51"/>
  <c r="N56"/>
  <c r="P27" i="8"/>
  <c r="J30"/>
  <c r="C45" i="62"/>
  <c r="P31" i="8"/>
  <c r="P51" s="1"/>
  <c r="AC43" i="4"/>
  <c r="Y47"/>
  <c r="R25" i="8"/>
  <c r="C31" i="43"/>
  <c r="C52" s="1"/>
  <c r="C25"/>
  <c r="P23" i="8"/>
  <c r="P50" s="1"/>
  <c r="G35" i="43"/>
  <c r="G35" i="45" s="1"/>
  <c r="B20" i="43"/>
  <c r="AC58" i="4"/>
  <c r="R6" i="8"/>
  <c r="F6" i="43" s="1"/>
  <c r="AB27" i="4"/>
  <c r="B12" i="43"/>
  <c r="J47" i="9"/>
  <c r="C34" i="43"/>
  <c r="C34" i="45" s="1"/>
  <c r="E41" i="62"/>
  <c r="L39" i="44" l="1"/>
  <c r="D39" i="46" s="1"/>
  <c r="L40" i="44"/>
  <c r="D40" i="46" s="1"/>
  <c r="L41" i="44"/>
  <c r="D41" i="46" s="1"/>
  <c r="P39" i="44"/>
  <c r="H39" i="46" s="1"/>
  <c r="P40" i="44"/>
  <c r="H40" i="46" s="1"/>
  <c r="P41" i="44"/>
  <c r="H41" i="46" s="1"/>
  <c r="O39" i="44"/>
  <c r="G39" i="46" s="1"/>
  <c r="O40" i="44"/>
  <c r="G40" i="46" s="1"/>
  <c r="O41" i="44"/>
  <c r="G41" i="46" s="1"/>
  <c r="Q39" i="44"/>
  <c r="I39" i="46" s="1"/>
  <c r="Q40" i="44"/>
  <c r="I40" i="46" s="1"/>
  <c r="Q41" i="44"/>
  <c r="I41" i="46" s="1"/>
  <c r="N39" i="44"/>
  <c r="F39" i="46" s="1"/>
  <c r="N41" i="44"/>
  <c r="F41" i="46" s="1"/>
  <c r="N40" i="44"/>
  <c r="F40" i="46" s="1"/>
  <c r="K40" i="44"/>
  <c r="C40" i="46" s="1"/>
  <c r="K41" i="44"/>
  <c r="C41" i="46" s="1"/>
  <c r="K39" i="44"/>
  <c r="C39" i="46" s="1"/>
  <c r="M41" i="44"/>
  <c r="E41" i="46" s="1"/>
  <c r="M39" i="44"/>
  <c r="E39" i="46" s="1"/>
  <c r="M40" i="44"/>
  <c r="E40" i="46" s="1"/>
  <c r="J40" i="44"/>
  <c r="B40" i="46" s="1"/>
  <c r="J41" i="44"/>
  <c r="B41" i="46" s="1"/>
  <c r="J39" i="44"/>
  <c r="B39" i="46" s="1"/>
  <c r="K34" i="44"/>
  <c r="K12"/>
  <c r="C12" i="46" s="1"/>
  <c r="K5" i="44"/>
  <c r="P33"/>
  <c r="M33"/>
  <c r="M32"/>
  <c r="O34"/>
  <c r="O5"/>
  <c r="G5" i="46" s="1"/>
  <c r="O33" i="44"/>
  <c r="G33" i="46" s="1"/>
  <c r="N31" i="5"/>
  <c r="N51" s="1"/>
  <c r="N23"/>
  <c r="N50" s="1"/>
  <c r="E9" i="57"/>
  <c r="B20" i="45"/>
  <c r="H57" i="8"/>
  <c r="W50" i="16"/>
  <c r="W51"/>
  <c r="W49"/>
  <c r="G60"/>
  <c r="G61" i="15"/>
  <c r="N47"/>
  <c r="J23" i="8"/>
  <c r="Q35" i="44"/>
  <c r="Y30" i="4"/>
  <c r="Y14"/>
  <c r="M22" i="44"/>
  <c r="E22" i="46" s="1"/>
  <c r="M34" i="44"/>
  <c r="E34" i="46" s="1"/>
  <c r="Q34" i="44"/>
  <c r="I34" i="46" s="1"/>
  <c r="K33" i="44"/>
  <c r="K32"/>
  <c r="C32" i="46" s="1"/>
  <c r="J43" i="9"/>
  <c r="J64" s="1"/>
  <c r="M30" i="44"/>
  <c r="M38"/>
  <c r="E38" i="46" s="1"/>
  <c r="M37" i="44"/>
  <c r="M36"/>
  <c r="E36" i="46" s="1"/>
  <c r="K4" i="44"/>
  <c r="B7" i="61"/>
  <c r="P31" i="44"/>
  <c r="J30"/>
  <c r="B30" i="46" s="1"/>
  <c r="J38" i="44"/>
  <c r="B38" i="46" s="1"/>
  <c r="J36" i="44"/>
  <c r="B36" i="46" s="1"/>
  <c r="P23" i="44"/>
  <c r="N4"/>
  <c r="B12" i="61"/>
  <c r="B29" s="1"/>
  <c r="Q33" i="44"/>
  <c r="I33" i="46" s="1"/>
  <c r="Q32" i="44"/>
  <c r="I32" i="46" s="1"/>
  <c r="M29" i="44"/>
  <c r="E29" i="46" s="1"/>
  <c r="M28" i="44"/>
  <c r="M27"/>
  <c r="E27" i="46" s="1"/>
  <c r="M26" i="44"/>
  <c r="E26" i="46" s="1"/>
  <c r="M25" i="44"/>
  <c r="E25" i="46" s="1"/>
  <c r="M24" i="44"/>
  <c r="O22"/>
  <c r="G22" i="46" s="1"/>
  <c r="O21" i="44"/>
  <c r="G21" i="46" s="1"/>
  <c r="O20" i="44"/>
  <c r="G20" i="46" s="1"/>
  <c r="O19" i="44"/>
  <c r="G19" i="46" s="1"/>
  <c r="O18" i="44"/>
  <c r="G18" i="46" s="1"/>
  <c r="O17" i="44"/>
  <c r="G17" i="46" s="1"/>
  <c r="O16" i="44"/>
  <c r="G16" i="46" s="1"/>
  <c r="O15" i="44"/>
  <c r="G15" i="46" s="1"/>
  <c r="O14" i="44"/>
  <c r="G14" i="46" s="1"/>
  <c r="O13" i="44"/>
  <c r="G13" i="46" s="1"/>
  <c r="O12" i="44"/>
  <c r="K11"/>
  <c r="C11" i="46" s="1"/>
  <c r="K10" i="44"/>
  <c r="C10" i="46" s="1"/>
  <c r="K9" i="44"/>
  <c r="K8"/>
  <c r="C8" i="46" s="1"/>
  <c r="K7" i="44"/>
  <c r="K6"/>
  <c r="C6" i="46" s="1"/>
  <c r="J34" i="44"/>
  <c r="B34" i="46" s="1"/>
  <c r="L33" i="44"/>
  <c r="N32"/>
  <c r="L29"/>
  <c r="N28"/>
  <c r="P27"/>
  <c r="J26"/>
  <c r="B26" i="46" s="1"/>
  <c r="L25" i="44"/>
  <c r="D25" i="46" s="1"/>
  <c r="N24" i="44"/>
  <c r="J22"/>
  <c r="B22" i="46" s="1"/>
  <c r="L21" i="44"/>
  <c r="N20"/>
  <c r="P19"/>
  <c r="J18"/>
  <c r="B18" i="46" s="1"/>
  <c r="L17" i="44"/>
  <c r="N16"/>
  <c r="P15"/>
  <c r="J14"/>
  <c r="B14" i="46" s="1"/>
  <c r="L13" i="44"/>
  <c r="N12"/>
  <c r="P11"/>
  <c r="J10"/>
  <c r="B10" i="46" s="1"/>
  <c r="L9" i="44"/>
  <c r="D9" i="46" s="1"/>
  <c r="N8" i="44"/>
  <c r="P7"/>
  <c r="J6"/>
  <c r="B6" i="46" s="1"/>
  <c r="L5" i="44"/>
  <c r="P35"/>
  <c r="J35"/>
  <c r="K23"/>
  <c r="B7" i="60"/>
  <c r="M31" i="44"/>
  <c r="M4"/>
  <c r="B10" i="61"/>
  <c r="O30" i="44"/>
  <c r="G30" i="46" s="1"/>
  <c r="O38" i="44"/>
  <c r="G38" i="46" s="1"/>
  <c r="O35" i="44"/>
  <c r="G35" i="46" s="1"/>
  <c r="O37" i="44"/>
  <c r="O36"/>
  <c r="G36" i="46" s="1"/>
  <c r="B31" i="44"/>
  <c r="B52" s="1"/>
  <c r="J31"/>
  <c r="L30"/>
  <c r="D30" i="46" s="1"/>
  <c r="L38" i="44"/>
  <c r="D38" i="46" s="1"/>
  <c r="L36" i="44"/>
  <c r="D36" i="46" s="1"/>
  <c r="L37" i="44"/>
  <c r="J23"/>
  <c r="P4"/>
  <c r="B15" i="61"/>
  <c r="N46" i="8"/>
  <c r="E6" i="60"/>
  <c r="E38" s="1"/>
  <c r="O29" i="44"/>
  <c r="G29" i="46" s="1"/>
  <c r="O28" i="44"/>
  <c r="G28" i="46" s="1"/>
  <c r="O27" i="44"/>
  <c r="G27" i="46" s="1"/>
  <c r="O26" i="44"/>
  <c r="G26" i="46" s="1"/>
  <c r="O25" i="44"/>
  <c r="G25" i="46" s="1"/>
  <c r="O24" i="44"/>
  <c r="G24" i="46" s="1"/>
  <c r="Q22" i="44"/>
  <c r="I22" i="46" s="1"/>
  <c r="Q21" i="44"/>
  <c r="I21" i="46" s="1"/>
  <c r="Q20" i="44"/>
  <c r="I20" i="46" s="1"/>
  <c r="Q19" i="44"/>
  <c r="I19" i="46" s="1"/>
  <c r="Q18" i="44"/>
  <c r="I18" i="46" s="1"/>
  <c r="Q17" i="44"/>
  <c r="I17" i="46" s="1"/>
  <c r="Q16" i="44"/>
  <c r="Q15"/>
  <c r="I15" i="46" s="1"/>
  <c r="Q14" i="44"/>
  <c r="I14" i="46" s="1"/>
  <c r="Q13" i="44"/>
  <c r="I13" i="46" s="1"/>
  <c r="M11" i="44"/>
  <c r="M10"/>
  <c r="M9"/>
  <c r="E9" i="46" s="1"/>
  <c r="M8" i="44"/>
  <c r="M7"/>
  <c r="M6"/>
  <c r="L34"/>
  <c r="N33"/>
  <c r="P32"/>
  <c r="N29"/>
  <c r="P28"/>
  <c r="J27"/>
  <c r="B27" i="46" s="1"/>
  <c r="L26" i="44"/>
  <c r="D26" i="46" s="1"/>
  <c r="N25" i="44"/>
  <c r="P24"/>
  <c r="L22"/>
  <c r="D22" i="46" s="1"/>
  <c r="N21" i="44"/>
  <c r="P20"/>
  <c r="J19"/>
  <c r="B19" i="46" s="1"/>
  <c r="L18" i="44"/>
  <c r="D18" i="46" s="1"/>
  <c r="N17" i="44"/>
  <c r="P16"/>
  <c r="J15"/>
  <c r="B15" i="46" s="1"/>
  <c r="L14" i="44"/>
  <c r="D14" i="46" s="1"/>
  <c r="N13" i="44"/>
  <c r="P12"/>
  <c r="J11"/>
  <c r="B11" i="46" s="1"/>
  <c r="L10" i="44"/>
  <c r="D10" i="46" s="1"/>
  <c r="N9" i="44"/>
  <c r="P8"/>
  <c r="J7"/>
  <c r="B7" i="46" s="1"/>
  <c r="L6" i="44"/>
  <c r="D6" i="46" s="1"/>
  <c r="N5" i="44"/>
  <c r="K35"/>
  <c r="O23"/>
  <c r="B13" i="60"/>
  <c r="O31" i="44"/>
  <c r="M23"/>
  <c r="B10" i="60"/>
  <c r="Q30" i="44"/>
  <c r="I30" i="46" s="1"/>
  <c r="Q38" i="44"/>
  <c r="I38" i="46" s="1"/>
  <c r="Q37" i="44"/>
  <c r="Q36"/>
  <c r="I36" i="46" s="1"/>
  <c r="L31" i="44"/>
  <c r="N30"/>
  <c r="N38"/>
  <c r="F38" i="46" s="1"/>
  <c r="N35" i="44"/>
  <c r="N36"/>
  <c r="F36" i="46" s="1"/>
  <c r="N37" i="44"/>
  <c r="L23"/>
  <c r="B9" i="60"/>
  <c r="C56" i="9"/>
  <c r="J12" i="44"/>
  <c r="B4"/>
  <c r="B50" s="1"/>
  <c r="D6" i="61"/>
  <c r="J4" i="44"/>
  <c r="B6" i="61"/>
  <c r="B38" s="1"/>
  <c r="Q29" i="44"/>
  <c r="I29" i="46" s="1"/>
  <c r="Q28" i="44"/>
  <c r="I28" i="46" s="1"/>
  <c r="Q27" i="44"/>
  <c r="I27" i="46" s="1"/>
  <c r="Q26" i="44"/>
  <c r="I26" i="46" s="1"/>
  <c r="Q25" i="44"/>
  <c r="I25" i="46" s="1"/>
  <c r="Q24" i="44"/>
  <c r="I24" i="46" s="1"/>
  <c r="K22" i="44"/>
  <c r="K21"/>
  <c r="K20"/>
  <c r="K19"/>
  <c r="C19" i="46" s="1"/>
  <c r="K18" i="44"/>
  <c r="K17"/>
  <c r="C17" i="46" s="1"/>
  <c r="K16" i="44"/>
  <c r="K15"/>
  <c r="C15" i="46" s="1"/>
  <c r="K14" i="44"/>
  <c r="C14" i="46" s="1"/>
  <c r="K13" i="44"/>
  <c r="O11"/>
  <c r="G11" i="46" s="1"/>
  <c r="O10" i="44"/>
  <c r="G10" i="46" s="1"/>
  <c r="O9" i="44"/>
  <c r="G9" i="46" s="1"/>
  <c r="O8" i="44"/>
  <c r="G8" i="46" s="1"/>
  <c r="O7" i="44"/>
  <c r="G7" i="46" s="1"/>
  <c r="O6" i="44"/>
  <c r="G6" i="46" s="1"/>
  <c r="M5" i="44"/>
  <c r="E5" i="46" s="1"/>
  <c r="N34" i="44"/>
  <c r="J32"/>
  <c r="B32" i="46" s="1"/>
  <c r="P29" i="44"/>
  <c r="J28"/>
  <c r="B28" i="46" s="1"/>
  <c r="L27" i="44"/>
  <c r="N26"/>
  <c r="P25"/>
  <c r="J24"/>
  <c r="B24" i="46" s="1"/>
  <c r="N22" i="44"/>
  <c r="P21"/>
  <c r="J20"/>
  <c r="B20" i="46" s="1"/>
  <c r="L19" i="44"/>
  <c r="N18"/>
  <c r="P17"/>
  <c r="J16"/>
  <c r="B16" i="46" s="1"/>
  <c r="L15" i="44"/>
  <c r="D15" i="46" s="1"/>
  <c r="N14" i="44"/>
  <c r="P13"/>
  <c r="L11"/>
  <c r="N10"/>
  <c r="P9"/>
  <c r="J8"/>
  <c r="B8" i="46" s="1"/>
  <c r="L7" i="44"/>
  <c r="D7" i="46" s="1"/>
  <c r="N6" i="44"/>
  <c r="P5"/>
  <c r="L35"/>
  <c r="O4"/>
  <c r="K31"/>
  <c r="K30"/>
  <c r="C30" i="46" s="1"/>
  <c r="K38" i="44"/>
  <c r="C38" i="46" s="1"/>
  <c r="K37" i="44"/>
  <c r="K36"/>
  <c r="C36" i="46" s="1"/>
  <c r="N31" i="44"/>
  <c r="P30"/>
  <c r="P38"/>
  <c r="H38" i="46" s="1"/>
  <c r="P36" i="44"/>
  <c r="H36" i="46" s="1"/>
  <c r="P37" i="44"/>
  <c r="N23"/>
  <c r="B12" i="60"/>
  <c r="B29" s="1"/>
  <c r="E56" i="9"/>
  <c r="L12" i="44"/>
  <c r="L4"/>
  <c r="B9" i="61"/>
  <c r="B22" s="1"/>
  <c r="W57" i="8"/>
  <c r="O32" i="44"/>
  <c r="G32" i="46" s="1"/>
  <c r="K29" i="44"/>
  <c r="K28"/>
  <c r="C28" i="46" s="1"/>
  <c r="K27" i="44"/>
  <c r="K26"/>
  <c r="K25"/>
  <c r="K24"/>
  <c r="C24" i="46" s="1"/>
  <c r="M21" i="44"/>
  <c r="E21" i="46" s="1"/>
  <c r="M20" i="44"/>
  <c r="M19"/>
  <c r="M18"/>
  <c r="E18" i="46" s="1"/>
  <c r="M17" i="44"/>
  <c r="M16"/>
  <c r="M15"/>
  <c r="M14"/>
  <c r="M13"/>
  <c r="E13" i="46" s="1"/>
  <c r="Q11" i="44"/>
  <c r="I11" i="46" s="1"/>
  <c r="Q10" i="44"/>
  <c r="I10" i="46" s="1"/>
  <c r="Q9" i="44"/>
  <c r="I9" i="46" s="1"/>
  <c r="Q8" i="44"/>
  <c r="I8" i="46" s="1"/>
  <c r="Q7" i="44"/>
  <c r="I7" i="46" s="1"/>
  <c r="Q6" i="44"/>
  <c r="I6" i="46" s="1"/>
  <c r="Q5" i="44"/>
  <c r="I5" i="46" s="1"/>
  <c r="J33" i="44"/>
  <c r="B33" i="46" s="1"/>
  <c r="L32" i="44"/>
  <c r="J29"/>
  <c r="B29" i="46" s="1"/>
  <c r="L28" i="44"/>
  <c r="D28" i="46" s="1"/>
  <c r="N27" i="44"/>
  <c r="P26"/>
  <c r="J25"/>
  <c r="B25" i="46" s="1"/>
  <c r="L24" i="44"/>
  <c r="D24" i="46" s="1"/>
  <c r="P22" i="44"/>
  <c r="J21"/>
  <c r="B21" i="46" s="1"/>
  <c r="L20" i="44"/>
  <c r="D20" i="46" s="1"/>
  <c r="N19" i="44"/>
  <c r="P18"/>
  <c r="J17"/>
  <c r="B17" i="46" s="1"/>
  <c r="L16" i="44"/>
  <c r="D16" i="46" s="1"/>
  <c r="N15" i="44"/>
  <c r="P14"/>
  <c r="J13"/>
  <c r="B13" i="46" s="1"/>
  <c r="N11" i="44"/>
  <c r="P10"/>
  <c r="J9"/>
  <c r="B9" i="46" s="1"/>
  <c r="L8" i="44"/>
  <c r="D8" i="46" s="1"/>
  <c r="N7" i="44"/>
  <c r="P6"/>
  <c r="J5"/>
  <c r="B5" i="46" s="1"/>
  <c r="M35" i="44"/>
  <c r="J37"/>
  <c r="B4" i="43"/>
  <c r="G22" i="45"/>
  <c r="E19"/>
  <c r="E15"/>
  <c r="E11"/>
  <c r="I26"/>
  <c r="G14"/>
  <c r="G26"/>
  <c r="B14"/>
  <c r="C38" i="62"/>
  <c r="O8" i="5"/>
  <c r="Q8" i="9" s="1"/>
  <c r="E8" i="44" s="1"/>
  <c r="E58" i="9"/>
  <c r="B47" i="62"/>
  <c r="H58" i="9"/>
  <c r="D56"/>
  <c r="O30" i="5"/>
  <c r="Q30" i="9" s="1"/>
  <c r="E30" i="44" s="1"/>
  <c r="N5" i="5"/>
  <c r="P5" i="9" s="1"/>
  <c r="D5" i="44" s="1"/>
  <c r="R5" i="4"/>
  <c r="T5" i="8" s="1"/>
  <c r="H5" i="43" s="1"/>
  <c r="H5" i="45" s="1"/>
  <c r="W26" i="8"/>
  <c r="C22" i="45"/>
  <c r="Y32" i="8"/>
  <c r="S45"/>
  <c r="E17" i="45"/>
  <c r="E13"/>
  <c r="E5"/>
  <c r="E18"/>
  <c r="I4" i="43"/>
  <c r="I50" s="1"/>
  <c r="E26" i="58"/>
  <c r="Y45" i="8"/>
  <c r="E29" i="45"/>
  <c r="F22"/>
  <c r="C18"/>
  <c r="C10"/>
  <c r="C6"/>
  <c r="I24"/>
  <c r="I20"/>
  <c r="I8"/>
  <c r="E31" i="62"/>
  <c r="W28" i="8"/>
  <c r="E25" i="62"/>
  <c r="E27" s="1"/>
  <c r="Q45" i="8"/>
  <c r="Q44"/>
  <c r="E24" i="45"/>
  <c r="Y54" i="8"/>
  <c r="E12" i="43"/>
  <c r="E12" i="45" s="1"/>
  <c r="Y38" i="8"/>
  <c r="W40"/>
  <c r="W35"/>
  <c r="W31"/>
  <c r="W43" s="1"/>
  <c r="G24" i="45"/>
  <c r="G20"/>
  <c r="G19"/>
  <c r="W32" i="8"/>
  <c r="I31" i="43"/>
  <c r="I52" s="1"/>
  <c r="W27" i="8"/>
  <c r="G31" i="43"/>
  <c r="G52" s="1"/>
  <c r="P4" i="8"/>
  <c r="P52" s="1"/>
  <c r="AB29" i="4"/>
  <c r="Y40" i="8"/>
  <c r="AB39" i="4"/>
  <c r="P29" i="8"/>
  <c r="D29" i="43" s="1"/>
  <c r="D29" i="45" s="1"/>
  <c r="R25" i="4"/>
  <c r="AD46" s="1"/>
  <c r="AB33"/>
  <c r="R9"/>
  <c r="T9" i="8" s="1"/>
  <c r="H9" i="43" s="1"/>
  <c r="H9" i="45" s="1"/>
  <c r="O32" i="5"/>
  <c r="Q32" i="9" s="1"/>
  <c r="E32" i="44" s="1"/>
  <c r="AB56" i="4"/>
  <c r="AB46"/>
  <c r="P5" i="8"/>
  <c r="D5" i="43" s="1"/>
  <c r="D5" i="45" s="1"/>
  <c r="AB42" i="4"/>
  <c r="P17" i="8"/>
  <c r="D17" i="43" s="1"/>
  <c r="D17" i="45" s="1"/>
  <c r="P21" i="8"/>
  <c r="D21" i="43" s="1"/>
  <c r="D21" i="45" s="1"/>
  <c r="P9" i="8"/>
  <c r="D9" i="43" s="1"/>
  <c r="D9" i="45" s="1"/>
  <c r="O24" i="5"/>
  <c r="Q24" i="9" s="1"/>
  <c r="E24" i="44" s="1"/>
  <c r="R13" i="4"/>
  <c r="T13" i="8" s="1"/>
  <c r="H13" i="43" s="1"/>
  <c r="H13" i="45" s="1"/>
  <c r="P13" i="8"/>
  <c r="D13" i="43" s="1"/>
  <c r="D13" i="45" s="1"/>
  <c r="C12" i="43"/>
  <c r="C12" i="45" s="1"/>
  <c r="R29" i="4"/>
  <c r="AD56" s="1"/>
  <c r="P25" i="8"/>
  <c r="D25" i="43" s="1"/>
  <c r="D25" i="45" s="1"/>
  <c r="AB25" i="4"/>
  <c r="AB38"/>
  <c r="O17" i="5"/>
  <c r="Q17" i="9" s="1"/>
  <c r="E17" i="44" s="1"/>
  <c r="P10" i="8"/>
  <c r="D10" i="43" s="1"/>
  <c r="D10" i="45" s="1"/>
  <c r="P18" i="8"/>
  <c r="D18" i="43" s="1"/>
  <c r="D18" i="45" s="1"/>
  <c r="C17"/>
  <c r="P8" i="8"/>
  <c r="D8" i="43" s="1"/>
  <c r="D8" i="45" s="1"/>
  <c r="P16" i="8"/>
  <c r="D16" i="43" s="1"/>
  <c r="D16" i="45" s="1"/>
  <c r="AB30" i="4"/>
  <c r="R12"/>
  <c r="AD32" s="1"/>
  <c r="C4" i="43"/>
  <c r="C50" s="1"/>
  <c r="O47" i="8"/>
  <c r="R7" i="4"/>
  <c r="AD27" s="1"/>
  <c r="R31"/>
  <c r="R53" s="1"/>
  <c r="AB58"/>
  <c r="P19" i="8"/>
  <c r="D19" i="43" s="1"/>
  <c r="D19" i="45" s="1"/>
  <c r="B17"/>
  <c r="B13"/>
  <c r="P7" i="8"/>
  <c r="D7" i="43" s="1"/>
  <c r="D7" i="45" s="1"/>
  <c r="R15" i="4"/>
  <c r="T15" i="8" s="1"/>
  <c r="H15" i="43" s="1"/>
  <c r="H15" i="45" s="1"/>
  <c r="P11" i="8"/>
  <c r="D11" i="43" s="1"/>
  <c r="D11" i="45" s="1"/>
  <c r="N47" i="4"/>
  <c r="AB48"/>
  <c r="B29" i="45"/>
  <c r="B25"/>
  <c r="AB31" i="4"/>
  <c r="AB35"/>
  <c r="AB44"/>
  <c r="E38" i="62"/>
  <c r="R23" i="4"/>
  <c r="R52" s="1"/>
  <c r="Y30" i="8"/>
  <c r="R16" i="4"/>
  <c r="AD37" s="1"/>
  <c r="O19" i="5"/>
  <c r="Q19" i="9" s="1"/>
  <c r="E19" i="44" s="1"/>
  <c r="N48" i="4"/>
  <c r="R24"/>
  <c r="T24" i="8" s="1"/>
  <c r="H24" i="43" s="1"/>
  <c r="H24" i="45" s="1"/>
  <c r="N46" i="4"/>
  <c r="R20"/>
  <c r="T20" i="8" s="1"/>
  <c r="H20" i="43" s="1"/>
  <c r="H20" i="45" s="1"/>
  <c r="J8" i="8"/>
  <c r="B18" i="45"/>
  <c r="B6"/>
  <c r="K26" s="1"/>
  <c r="P28" i="8"/>
  <c r="D28" i="43" s="1"/>
  <c r="D28" i="45" s="1"/>
  <c r="R28" i="4"/>
  <c r="T28" i="8" s="1"/>
  <c r="H28" i="43" s="1"/>
  <c r="H28" i="45" s="1"/>
  <c r="AB24" i="4"/>
  <c r="R8"/>
  <c r="AD28" s="1"/>
  <c r="P20" i="8"/>
  <c r="D20" i="43" s="1"/>
  <c r="D20" i="45" s="1"/>
  <c r="N45" i="4"/>
  <c r="AB55"/>
  <c r="AB28"/>
  <c r="P24" i="8"/>
  <c r="D24" i="43" s="1"/>
  <c r="D24" i="45" s="1"/>
  <c r="L53" s="1"/>
  <c r="P12" i="8"/>
  <c r="D12" i="43" s="1"/>
  <c r="D12" i="45" s="1"/>
  <c r="Y41" i="4"/>
  <c r="C11" i="43"/>
  <c r="C11" i="45" s="1"/>
  <c r="C23" i="43"/>
  <c r="C51" s="1"/>
  <c r="C15"/>
  <c r="C15" i="45" s="1"/>
  <c r="Y56" i="8"/>
  <c r="O18" i="9"/>
  <c r="C18" i="44" s="1"/>
  <c r="B22" i="45"/>
  <c r="C7"/>
  <c r="Y47" i="8"/>
  <c r="D38" i="62"/>
  <c r="G5" i="45"/>
  <c r="G21"/>
  <c r="E22"/>
  <c r="C25"/>
  <c r="C41" i="62"/>
  <c r="C43" s="1"/>
  <c r="O15" i="15"/>
  <c r="O33"/>
  <c r="O11"/>
  <c r="O28"/>
  <c r="D61"/>
  <c r="D60"/>
  <c r="P45" i="4"/>
  <c r="P47"/>
  <c r="AC31"/>
  <c r="V32" i="8"/>
  <c r="R8"/>
  <c r="V28" s="1"/>
  <c r="J16"/>
  <c r="J65" s="1"/>
  <c r="Y24" i="4"/>
  <c r="Y32"/>
  <c r="Y20"/>
  <c r="S25" i="66"/>
  <c r="S36"/>
  <c r="G35" i="14" s="1"/>
  <c r="P34" i="5" s="1"/>
  <c r="R34" i="9" s="1"/>
  <c r="F34" i="44" s="1"/>
  <c r="H60" i="66"/>
  <c r="I49"/>
  <c r="C48" i="14" s="1"/>
  <c r="I30" i="66"/>
  <c r="C29" i="14" s="1"/>
  <c r="I10" i="66"/>
  <c r="C9" i="14" s="1"/>
  <c r="I43" i="66"/>
  <c r="C42" i="14" s="1"/>
  <c r="I19" i="66"/>
  <c r="C18" i="14" s="1"/>
  <c r="M85" i="45"/>
  <c r="M51"/>
  <c r="M56"/>
  <c r="C7" i="60"/>
  <c r="D60" i="8"/>
  <c r="D59"/>
  <c r="F59"/>
  <c r="F58"/>
  <c r="C56"/>
  <c r="B5" i="45"/>
  <c r="H59" i="8"/>
  <c r="L85" i="45"/>
  <c r="L51"/>
  <c r="D15"/>
  <c r="M55"/>
  <c r="P35" i="8"/>
  <c r="D35" i="43" s="1"/>
  <c r="D35" i="45" s="1"/>
  <c r="R35" i="4"/>
  <c r="T35" i="8" s="1"/>
  <c r="I17" i="43"/>
  <c r="I17" i="45" s="1"/>
  <c r="R14" i="4"/>
  <c r="N34" i="5"/>
  <c r="P34" i="8"/>
  <c r="D34" i="43" s="1"/>
  <c r="D34" i="45" s="1"/>
  <c r="R34" i="4"/>
  <c r="T34" i="8" s="1"/>
  <c r="H34" i="43" s="1"/>
  <c r="H34" i="45" s="1"/>
  <c r="O25" i="15"/>
  <c r="N32" i="5"/>
  <c r="P32" i="9" s="1"/>
  <c r="D32" i="44" s="1"/>
  <c r="P32" i="8"/>
  <c r="D32" i="43" s="1"/>
  <c r="D32" i="45" s="1"/>
  <c r="C19" i="43"/>
  <c r="C19" i="45" s="1"/>
  <c r="AB47" i="4"/>
  <c r="W48" i="8"/>
  <c r="O31" i="15"/>
  <c r="G59"/>
  <c r="R22" i="4"/>
  <c r="T22" i="8" s="1"/>
  <c r="H22" i="43" s="1"/>
  <c r="H22" i="45" s="1"/>
  <c r="P6" i="8"/>
  <c r="D6" i="43" s="1"/>
  <c r="D6" i="45" s="1"/>
  <c r="Y56" i="4"/>
  <c r="C14" i="45"/>
  <c r="Y25" i="8"/>
  <c r="Y26"/>
  <c r="O5" i="9"/>
  <c r="C5" i="44" s="1"/>
  <c r="J21" i="8"/>
  <c r="I9" i="45" s="1"/>
  <c r="Y42" i="8"/>
  <c r="AB43" i="4"/>
  <c r="R6"/>
  <c r="AD26" s="1"/>
  <c r="Y46"/>
  <c r="O8" i="15"/>
  <c r="F59" i="16"/>
  <c r="O13" i="9"/>
  <c r="C13" i="44" s="1"/>
  <c r="O6" i="15"/>
  <c r="W42" i="8"/>
  <c r="W29"/>
  <c r="G27" i="45"/>
  <c r="G11"/>
  <c r="B10"/>
  <c r="N33" i="5"/>
  <c r="P33" i="9" s="1"/>
  <c r="D33" i="44" s="1"/>
  <c r="P33" i="8"/>
  <c r="D33" i="43" s="1"/>
  <c r="D33" i="45" s="1"/>
  <c r="R33" i="4"/>
  <c r="T33" i="8" s="1"/>
  <c r="H33" i="43" s="1"/>
  <c r="H33" i="45" s="1"/>
  <c r="E22" i="62"/>
  <c r="E24" s="1"/>
  <c r="P37" i="8"/>
  <c r="E9" i="60" s="1"/>
  <c r="E11" i="58"/>
  <c r="N37" i="5"/>
  <c r="P37" i="9" s="1"/>
  <c r="R37" i="4"/>
  <c r="O21" i="9"/>
  <c r="C21" i="44" s="1"/>
  <c r="O45" i="8"/>
  <c r="Y34"/>
  <c r="Y33"/>
  <c r="Y29"/>
  <c r="AB34" i="4"/>
  <c r="R10"/>
  <c r="T10" i="8" s="1"/>
  <c r="P26"/>
  <c r="D26" i="43" s="1"/>
  <c r="D26" i="45" s="1"/>
  <c r="R30" i="4"/>
  <c r="T30" i="8" s="1"/>
  <c r="H30" i="43" s="1"/>
  <c r="H30" i="45" s="1"/>
  <c r="AB57" i="4"/>
  <c r="R26"/>
  <c r="AD47" s="1"/>
  <c r="D58" i="15"/>
  <c r="O27"/>
  <c r="D59"/>
  <c r="P73" i="16"/>
  <c r="F19" i="45"/>
  <c r="V30" i="8"/>
  <c r="G58" i="9"/>
  <c r="D57"/>
  <c r="O15" i="5"/>
  <c r="Q15" i="9" s="1"/>
  <c r="E15" i="44" s="1"/>
  <c r="O27" i="9"/>
  <c r="C27" i="44" s="1"/>
  <c r="S45" i="5"/>
  <c r="O9" i="9"/>
  <c r="C9" i="44" s="1"/>
  <c r="G57" i="9"/>
  <c r="D6" i="60"/>
  <c r="D23" s="1"/>
  <c r="U31" i="9"/>
  <c r="U51" s="1"/>
  <c r="U23"/>
  <c r="U50" s="1"/>
  <c r="S44" i="5"/>
  <c r="D16" i="58"/>
  <c r="D31" s="1"/>
  <c r="P4" i="9"/>
  <c r="P52" s="1"/>
  <c r="E57"/>
  <c r="I58"/>
  <c r="G59"/>
  <c r="O14" i="5"/>
  <c r="Q14" i="9" s="1"/>
  <c r="E14" i="44" s="1"/>
  <c r="S46" i="5"/>
  <c r="O22" i="9"/>
  <c r="C22" i="44" s="1"/>
  <c r="O34" i="9"/>
  <c r="C34" i="44" s="1"/>
  <c r="O26" i="9"/>
  <c r="C26" i="44" s="1"/>
  <c r="O12" i="5"/>
  <c r="Q12" i="9" s="1"/>
  <c r="M45" i="5"/>
  <c r="M44"/>
  <c r="D7" i="58"/>
  <c r="S4" i="9"/>
  <c r="S52" s="1"/>
  <c r="D13" i="58"/>
  <c r="D32" s="1"/>
  <c r="S31" i="9"/>
  <c r="S51" s="1"/>
  <c r="S23"/>
  <c r="S50" s="1"/>
  <c r="D15" i="57"/>
  <c r="AC24" i="4"/>
  <c r="T32" i="8"/>
  <c r="H32" i="43" s="1"/>
  <c r="H32" i="45" s="1"/>
  <c r="I25"/>
  <c r="I13"/>
  <c r="F58" i="9"/>
  <c r="B15" i="60"/>
  <c r="B6"/>
  <c r="D31" i="43"/>
  <c r="D52" s="1"/>
  <c r="E4"/>
  <c r="E50" s="1"/>
  <c r="E10" i="61"/>
  <c r="E47" s="1"/>
  <c r="E23" i="43"/>
  <c r="E51" s="1"/>
  <c r="E10" i="60"/>
  <c r="B23" i="43"/>
  <c r="B51" s="1"/>
  <c r="S46" i="8"/>
  <c r="G23" i="43"/>
  <c r="G51" s="1"/>
  <c r="E13" i="60"/>
  <c r="E42" s="1"/>
  <c r="D57" i="8"/>
  <c r="C7" i="61"/>
  <c r="D56" i="8"/>
  <c r="I59"/>
  <c r="C16" i="60"/>
  <c r="E57" i="8"/>
  <c r="C9" i="61"/>
  <c r="C57" i="8"/>
  <c r="C6" i="61"/>
  <c r="C57" i="9"/>
  <c r="Y44" i="4"/>
  <c r="I59"/>
  <c r="G59" i="16"/>
  <c r="G61"/>
  <c r="F60"/>
  <c r="F61"/>
  <c r="B28" i="65"/>
  <c r="B45"/>
  <c r="B46" s="1"/>
  <c r="B37" i="44"/>
  <c r="B13" i="61"/>
  <c r="B42" s="1"/>
  <c r="B47" i="65"/>
  <c r="B32"/>
  <c r="S20" i="66"/>
  <c r="G19" i="14" s="1"/>
  <c r="I46" i="66"/>
  <c r="I31"/>
  <c r="C30" i="14" s="1"/>
  <c r="I21" i="66"/>
  <c r="C20" i="14" s="1"/>
  <c r="I20" i="66"/>
  <c r="C19" i="14" s="1"/>
  <c r="Q49" i="66"/>
  <c r="I45"/>
  <c r="I65" s="1"/>
  <c r="I18"/>
  <c r="I63" s="1"/>
  <c r="S34"/>
  <c r="G33" i="14" s="1"/>
  <c r="P32" i="5" s="1"/>
  <c r="R32" i="9" s="1"/>
  <c r="F32" i="44" s="1"/>
  <c r="P49" i="66"/>
  <c r="S28"/>
  <c r="G27" i="14" s="1"/>
  <c r="R47" i="66"/>
  <c r="S19"/>
  <c r="G18" i="14" s="1"/>
  <c r="S14" i="66"/>
  <c r="G13" i="14" s="1"/>
  <c r="P12" i="5" s="1"/>
  <c r="R12" i="9" s="1"/>
  <c r="F12" i="44" s="1"/>
  <c r="S12" i="66"/>
  <c r="G11" i="14" s="1"/>
  <c r="R10" i="5" s="1"/>
  <c r="T10" i="9" s="1"/>
  <c r="H10" i="44" s="1"/>
  <c r="C5" i="14"/>
  <c r="I38" i="66"/>
  <c r="C37" i="14" s="1"/>
  <c r="I36" i="66"/>
  <c r="C35" i="14" s="1"/>
  <c r="I35" i="66"/>
  <c r="C34" i="14" s="1"/>
  <c r="I27" i="66"/>
  <c r="C26" i="14" s="1"/>
  <c r="I22" i="66"/>
  <c r="C21" i="14" s="1"/>
  <c r="I14" i="66"/>
  <c r="C13" i="14" s="1"/>
  <c r="I26" i="66"/>
  <c r="C25" i="14" s="1"/>
  <c r="I37" i="66"/>
  <c r="I64" s="1"/>
  <c r="F60"/>
  <c r="H59"/>
  <c r="H58"/>
  <c r="F58"/>
  <c r="E39" i="62"/>
  <c r="E14"/>
  <c r="L14" s="1"/>
  <c r="C16" i="58"/>
  <c r="C31" s="1"/>
  <c r="C12" i="60"/>
  <c r="C29" s="1"/>
  <c r="Q37" i="9"/>
  <c r="D48" i="62"/>
  <c r="C25" i="65"/>
  <c r="E41"/>
  <c r="C16" i="57"/>
  <c r="C6" i="60"/>
  <c r="U37" i="9"/>
  <c r="O37"/>
  <c r="D32" i="62"/>
  <c r="C44" i="65"/>
  <c r="C30" i="62"/>
  <c r="C44"/>
  <c r="C46" s="1"/>
  <c r="C11"/>
  <c r="J11" s="1"/>
  <c r="C8"/>
  <c r="J8" s="1"/>
  <c r="G37" i="44"/>
  <c r="C37" i="45"/>
  <c r="E37"/>
  <c r="G37"/>
  <c r="I37"/>
  <c r="B33"/>
  <c r="E7" i="60"/>
  <c r="E41" s="1"/>
  <c r="C15" i="61"/>
  <c r="C12"/>
  <c r="C35" i="43"/>
  <c r="C35" i="45" s="1"/>
  <c r="F60" i="8"/>
  <c r="C13" i="60"/>
  <c r="C42" s="1"/>
  <c r="E6" i="61"/>
  <c r="E38" s="1"/>
  <c r="C13"/>
  <c r="C10"/>
  <c r="C47" s="1"/>
  <c r="C33" i="45"/>
  <c r="H60" i="8"/>
  <c r="D58" i="9"/>
  <c r="B22" i="65"/>
  <c r="C59" i="9"/>
  <c r="B16" i="57"/>
  <c r="B16" i="58"/>
  <c r="B45"/>
  <c r="B28"/>
  <c r="B39"/>
  <c r="B29"/>
  <c r="B44"/>
  <c r="B46" s="1"/>
  <c r="B22"/>
  <c r="B45" i="57"/>
  <c r="B28"/>
  <c r="B23" i="58"/>
  <c r="B38"/>
  <c r="F59" i="9"/>
  <c r="F57"/>
  <c r="C38" i="58"/>
  <c r="C40" s="1"/>
  <c r="C23"/>
  <c r="C32"/>
  <c r="C42"/>
  <c r="C26"/>
  <c r="C27" s="1"/>
  <c r="C41"/>
  <c r="C28"/>
  <c r="C45"/>
  <c r="F56" i="8"/>
  <c r="E26" i="45"/>
  <c r="C9"/>
  <c r="F6"/>
  <c r="P46" i="8"/>
  <c r="E30" i="45"/>
  <c r="G60" i="8"/>
  <c r="E9" i="45"/>
  <c r="AB45" i="4"/>
  <c r="P14" i="8"/>
  <c r="D14" i="43" s="1"/>
  <c r="D14" i="45" s="1"/>
  <c r="H27"/>
  <c r="C38" i="57"/>
  <c r="C23"/>
  <c r="C8"/>
  <c r="C42"/>
  <c r="C32"/>
  <c r="C25"/>
  <c r="C47"/>
  <c r="C26"/>
  <c r="C41"/>
  <c r="E32"/>
  <c r="E42"/>
  <c r="E26"/>
  <c r="E41"/>
  <c r="N45" i="5"/>
  <c r="P23" i="9"/>
  <c r="P50" s="1"/>
  <c r="T21" i="8"/>
  <c r="H21" i="43" s="1"/>
  <c r="H21" i="45" s="1"/>
  <c r="AD42" i="4"/>
  <c r="AD40"/>
  <c r="T19" i="8"/>
  <c r="H19" i="43" s="1"/>
  <c r="H19" i="45" s="1"/>
  <c r="T17" i="8"/>
  <c r="H17" i="43" s="1"/>
  <c r="H17" i="45" s="1"/>
  <c r="AD38" i="4"/>
  <c r="P12" i="9"/>
  <c r="D12" i="44" s="1"/>
  <c r="N44" i="5"/>
  <c r="C28" i="57"/>
  <c r="C45"/>
  <c r="C46" s="1"/>
  <c r="C29"/>
  <c r="C39"/>
  <c r="E31"/>
  <c r="E48"/>
  <c r="P31" i="9"/>
  <c r="P51" s="1"/>
  <c r="E23" i="57"/>
  <c r="E8"/>
  <c r="E38"/>
  <c r="N35" i="5"/>
  <c r="P35" i="9" s="1"/>
  <c r="N27" i="5"/>
  <c r="P27" i="9" s="1"/>
  <c r="D27" i="44" s="1"/>
  <c r="N21" i="5"/>
  <c r="P21" i="9" s="1"/>
  <c r="D21" i="44" s="1"/>
  <c r="N19" i="5"/>
  <c r="P19" i="9" s="1"/>
  <c r="D19" i="44" s="1"/>
  <c r="N17" i="5"/>
  <c r="P17" i="9" s="1"/>
  <c r="D17" i="44" s="1"/>
  <c r="N11" i="5"/>
  <c r="P11" i="9" s="1"/>
  <c r="D11" i="44" s="1"/>
  <c r="E15" i="58"/>
  <c r="P30" i="8"/>
  <c r="D30" i="43" s="1"/>
  <c r="D30" i="45" s="1"/>
  <c r="P22" i="8"/>
  <c r="D22" i="43" s="1"/>
  <c r="D22" i="45" s="1"/>
  <c r="AB41" i="4"/>
  <c r="R18"/>
  <c r="T18" i="8" s="1"/>
  <c r="H18" i="43" s="1"/>
  <c r="H18" i="45" s="1"/>
  <c r="AB37" i="4"/>
  <c r="AB32"/>
  <c r="AB26"/>
  <c r="C30" i="45"/>
  <c r="E60" i="8"/>
  <c r="B19" i="45"/>
  <c r="E21"/>
  <c r="U47" i="8"/>
  <c r="R48" i="66"/>
  <c r="P48"/>
  <c r="S30"/>
  <c r="G29" i="14" s="1"/>
  <c r="R28" i="5" s="1"/>
  <c r="T28" i="9" s="1"/>
  <c r="H28" i="44" s="1"/>
  <c r="S26" i="66"/>
  <c r="G25" i="14" s="1"/>
  <c r="P24" i="5" s="1"/>
  <c r="R24" i="9" s="1"/>
  <c r="F24" i="44" s="1"/>
  <c r="Q47" i="66"/>
  <c r="G58"/>
  <c r="I29"/>
  <c r="C28" i="14" s="1"/>
  <c r="S7" i="66"/>
  <c r="G6" i="14" s="1"/>
  <c r="I17" i="66"/>
  <c r="C16" i="14" s="1"/>
  <c r="S24" i="66"/>
  <c r="G23" i="14" s="1"/>
  <c r="P22" i="5" s="1"/>
  <c r="R22" i="9" s="1"/>
  <c r="F22" i="44" s="1"/>
  <c r="S18" i="66"/>
  <c r="G17" i="14" s="1"/>
  <c r="R16" i="5" s="1"/>
  <c r="T16" i="9" s="1"/>
  <c r="H16" i="44" s="1"/>
  <c r="S16" i="66"/>
  <c r="G15" i="14" s="1"/>
  <c r="P14" i="5" s="1"/>
  <c r="R14" i="9" s="1"/>
  <c r="F14" i="44" s="1"/>
  <c r="I9" i="66"/>
  <c r="C8" i="14" s="1"/>
  <c r="S35" i="66"/>
  <c r="G34" i="14" s="1"/>
  <c r="P33" i="5" s="1"/>
  <c r="R33" i="9" s="1"/>
  <c r="F33" i="44" s="1"/>
  <c r="Q48" i="66"/>
  <c r="S32"/>
  <c r="G31" i="14" s="1"/>
  <c r="P30" i="5" s="1"/>
  <c r="R30" i="9" s="1"/>
  <c r="F30" i="44" s="1"/>
  <c r="S15" i="66"/>
  <c r="G14" i="14" s="1"/>
  <c r="Q46" i="66"/>
  <c r="S10"/>
  <c r="G9" i="14" s="1"/>
  <c r="R8" i="5" s="1"/>
  <c r="T8" i="9" s="1"/>
  <c r="H8" i="44" s="1"/>
  <c r="S9" i="66"/>
  <c r="G8" i="14" s="1"/>
  <c r="P7" i="5" s="1"/>
  <c r="R7" i="9" s="1"/>
  <c r="F7" i="44" s="1"/>
  <c r="S8" i="66"/>
  <c r="G7" i="14" s="1"/>
  <c r="R6" i="5" s="1"/>
  <c r="T6" i="9" s="1"/>
  <c r="H6" i="44" s="1"/>
  <c r="I42" i="66"/>
  <c r="C41" i="14" s="1"/>
  <c r="I33" i="66"/>
  <c r="C32" i="14" s="1"/>
  <c r="I24" i="66"/>
  <c r="C23" i="14" s="1"/>
  <c r="S39" i="66"/>
  <c r="S33"/>
  <c r="S37"/>
  <c r="S23"/>
  <c r="G22" i="14" s="1"/>
  <c r="P21" i="5" s="1"/>
  <c r="R21" i="9" s="1"/>
  <c r="F21" i="44" s="1"/>
  <c r="S22" i="66"/>
  <c r="G21" i="14" s="1"/>
  <c r="S21" i="66"/>
  <c r="G20" i="14" s="1"/>
  <c r="P46" i="66"/>
  <c r="I47"/>
  <c r="G59"/>
  <c r="I40"/>
  <c r="C39" i="14" s="1"/>
  <c r="I39" i="66"/>
  <c r="C38" i="14" s="1"/>
  <c r="I12" i="66"/>
  <c r="C11" i="14" s="1"/>
  <c r="S27" i="66"/>
  <c r="G26" i="14" s="1"/>
  <c r="S11" i="66"/>
  <c r="G10" i="14" s="1"/>
  <c r="P9" i="5" s="1"/>
  <c r="R9" i="9" s="1"/>
  <c r="F9" i="44" s="1"/>
  <c r="S31" i="66"/>
  <c r="G30" i="14" s="1"/>
  <c r="P29" i="5" s="1"/>
  <c r="R29" i="9" s="1"/>
  <c r="F29" i="44" s="1"/>
  <c r="S17" i="66"/>
  <c r="G16" i="14" s="1"/>
  <c r="R15" i="5" s="1"/>
  <c r="T15" i="9" s="1"/>
  <c r="H15" i="44" s="1"/>
  <c r="I44" i="66"/>
  <c r="C43" i="14" s="1"/>
  <c r="I32" i="66"/>
  <c r="C31" i="14" s="1"/>
  <c r="I23" i="66"/>
  <c r="C22" i="14" s="1"/>
  <c r="I11" i="66"/>
  <c r="C10" i="14" s="1"/>
  <c r="R49" i="66"/>
  <c r="S29"/>
  <c r="G28" i="14" s="1"/>
  <c r="P47" i="66"/>
  <c r="S13"/>
  <c r="G12" i="14" s="1"/>
  <c r="P11" i="5" s="1"/>
  <c r="R11" i="9" s="1"/>
  <c r="F11" i="44" s="1"/>
  <c r="I48" i="66"/>
  <c r="C47" i="14" s="1"/>
  <c r="F59" i="66"/>
  <c r="G60"/>
  <c r="I34"/>
  <c r="C33" i="14" s="1"/>
  <c r="I28" i="66"/>
  <c r="C27" i="14" s="1"/>
  <c r="G57" i="66"/>
  <c r="I25"/>
  <c r="C24" i="14" s="1"/>
  <c r="I16" i="66"/>
  <c r="C15" i="14" s="1"/>
  <c r="I15" i="66"/>
  <c r="C14" i="14" s="1"/>
  <c r="I13" i="66"/>
  <c r="C12" i="14" s="1"/>
  <c r="I8" i="66"/>
  <c r="C7" i="14" s="1"/>
  <c r="I7" i="66"/>
  <c r="C6" i="14" s="1"/>
  <c r="I41" i="66"/>
  <c r="B30" i="45"/>
  <c r="I56" i="8"/>
  <c r="E56"/>
  <c r="I57" i="9"/>
  <c r="I59"/>
  <c r="G9" i="45"/>
  <c r="G7"/>
  <c r="C14" i="57"/>
  <c r="E7" i="61"/>
  <c r="E41" s="1"/>
  <c r="C27" i="45"/>
  <c r="C13"/>
  <c r="C5"/>
  <c r="E33"/>
  <c r="E25"/>
  <c r="E14"/>
  <c r="E10"/>
  <c r="E6"/>
  <c r="G34"/>
  <c r="G30"/>
  <c r="W47" i="8"/>
  <c r="W39"/>
  <c r="W30"/>
  <c r="F34" i="45"/>
  <c r="B27"/>
  <c r="V40" i="8"/>
  <c r="B15" i="45"/>
  <c r="B7"/>
  <c r="H56" i="9"/>
  <c r="H57"/>
  <c r="P29"/>
  <c r="D29" i="44" s="1"/>
  <c r="W45" i="8"/>
  <c r="C60"/>
  <c r="G18" i="43"/>
  <c r="G18" i="45" s="1"/>
  <c r="C8" i="58"/>
  <c r="I60" i="8"/>
  <c r="I35" i="44"/>
  <c r="H58" i="8"/>
  <c r="B31" i="43"/>
  <c r="B52" s="1"/>
  <c r="E13" i="61"/>
  <c r="E42" s="1"/>
  <c r="E16"/>
  <c r="E31" s="1"/>
  <c r="G59" i="8"/>
  <c r="I57" i="4"/>
  <c r="Y55" i="8"/>
  <c r="I18" i="45"/>
  <c r="J16" i="9"/>
  <c r="J62" s="1"/>
  <c r="I32" i="45"/>
  <c r="F11"/>
  <c r="M46" i="5"/>
  <c r="C28" i="45"/>
  <c r="C21" i="43"/>
  <c r="C21" i="45" s="1"/>
  <c r="E7"/>
  <c r="G15"/>
  <c r="G8"/>
  <c r="B32"/>
  <c r="B28"/>
  <c r="I56" i="9"/>
  <c r="C22" i="65"/>
  <c r="E8" i="62"/>
  <c r="L8" s="1"/>
  <c r="G10" i="43"/>
  <c r="G10" i="45" s="1"/>
  <c r="AC30" i="4"/>
  <c r="C59" i="8"/>
  <c r="W25"/>
  <c r="Y39"/>
  <c r="C47" i="58"/>
  <c r="U44" i="8"/>
  <c r="R18"/>
  <c r="C58" i="9"/>
  <c r="B45" i="62"/>
  <c r="B29" i="57"/>
  <c r="B44"/>
  <c r="I29" i="45"/>
  <c r="C11" i="58"/>
  <c r="C32" i="45"/>
  <c r="C29"/>
  <c r="E27"/>
  <c r="E20"/>
  <c r="E16"/>
  <c r="E8"/>
  <c r="G32"/>
  <c r="G28"/>
  <c r="G16"/>
  <c r="G6"/>
  <c r="F12"/>
  <c r="B9"/>
  <c r="C26"/>
  <c r="B11"/>
  <c r="H59" i="9"/>
  <c r="I10" i="45"/>
  <c r="E49" i="62"/>
  <c r="Q47" i="5"/>
  <c r="W34" i="8"/>
  <c r="W56"/>
  <c r="N45"/>
  <c r="Y24"/>
  <c r="O11" i="5"/>
  <c r="Q11" i="9" s="1"/>
  <c r="E11" i="44" s="1"/>
  <c r="I59" i="5"/>
  <c r="AC47" i="4"/>
  <c r="Y27" i="8"/>
  <c r="U4" i="9"/>
  <c r="U52" s="1"/>
  <c r="I30" i="45"/>
  <c r="O44" i="8"/>
  <c r="C8" i="45"/>
  <c r="K28" s="1"/>
  <c r="E32"/>
  <c r="G33"/>
  <c r="G29"/>
  <c r="H11"/>
  <c r="F33"/>
  <c r="F13"/>
  <c r="B26"/>
  <c r="D23" i="58"/>
  <c r="D38"/>
  <c r="O23" i="9"/>
  <c r="O50" s="1"/>
  <c r="O23" i="5"/>
  <c r="O50" s="1"/>
  <c r="O10"/>
  <c r="Q10" i="9" s="1"/>
  <c r="E10" i="44" s="1"/>
  <c r="O25" i="9"/>
  <c r="C25" i="44" s="1"/>
  <c r="O6" i="5"/>
  <c r="Q6" i="9" s="1"/>
  <c r="E6" i="44" s="1"/>
  <c r="Q44" i="5"/>
  <c r="O29" i="9"/>
  <c r="C29" i="44" s="1"/>
  <c r="O4" i="9"/>
  <c r="O52" s="1"/>
  <c r="Q4"/>
  <c r="Q52" s="1"/>
  <c r="O28" i="5"/>
  <c r="Q28" i="9" s="1"/>
  <c r="E28" i="44" s="1"/>
  <c r="C44" i="58"/>
  <c r="C14"/>
  <c r="C22"/>
  <c r="D23" i="57"/>
  <c r="C29" i="58"/>
  <c r="B14" i="62"/>
  <c r="I14" s="1"/>
  <c r="N47" i="9"/>
  <c r="C11" i="57"/>
  <c r="C22"/>
  <c r="C39" i="62"/>
  <c r="E25" i="58"/>
  <c r="E47"/>
  <c r="E48"/>
  <c r="E31"/>
  <c r="E33" s="1"/>
  <c r="E42"/>
  <c r="E43" s="1"/>
  <c r="E38"/>
  <c r="E23"/>
  <c r="Y45" i="4"/>
  <c r="R4" i="8"/>
  <c r="R52" s="1"/>
  <c r="J28"/>
  <c r="I16" i="45" s="1"/>
  <c r="Y28" i="4"/>
  <c r="J14" i="8"/>
  <c r="R16"/>
  <c r="V37" s="1"/>
  <c r="V46" s="1"/>
  <c r="P46" i="4"/>
  <c r="I14" i="45"/>
  <c r="V31" i="8"/>
  <c r="V43" s="1"/>
  <c r="Y34" i="4"/>
  <c r="AC56"/>
  <c r="J34" i="8"/>
  <c r="I22" i="45" s="1"/>
  <c r="AC45" i="4"/>
  <c r="AC32"/>
  <c r="Y48"/>
  <c r="J24" i="8"/>
  <c r="P48" i="4"/>
  <c r="V55" i="8"/>
  <c r="F29" i="43"/>
  <c r="F29" i="45" s="1"/>
  <c r="V45" i="8"/>
  <c r="F24" i="43"/>
  <c r="F24" i="45" s="1"/>
  <c r="F35" i="43"/>
  <c r="Y33" i="4"/>
  <c r="J5" i="8"/>
  <c r="J33"/>
  <c r="I21" i="45" s="1"/>
  <c r="Y38" i="4"/>
  <c r="J17" i="8"/>
  <c r="I5" i="45" s="1"/>
  <c r="Y21" i="4"/>
  <c r="Y17"/>
  <c r="R5" i="8"/>
  <c r="R14"/>
  <c r="R27"/>
  <c r="Q46" i="5"/>
  <c r="I58" i="4"/>
  <c r="E14" i="58"/>
  <c r="Q45" i="5"/>
  <c r="Y23" i="4"/>
  <c r="AC42"/>
  <c r="AD48"/>
  <c r="AC33"/>
  <c r="J19" i="8"/>
  <c r="I7" i="45" s="1"/>
  <c r="Y57" i="4"/>
  <c r="Y15"/>
  <c r="E29" i="62"/>
  <c r="AD31" i="4"/>
  <c r="F25" i="43"/>
  <c r="F25" i="45" s="1"/>
  <c r="R17" i="8"/>
  <c r="J31"/>
  <c r="I19" i="45" s="1"/>
  <c r="J35" i="8"/>
  <c r="J63" s="1"/>
  <c r="Y35" i="4"/>
  <c r="Y19"/>
  <c r="F10" i="43"/>
  <c r="F10" i="45" s="1"/>
  <c r="V26" i="8"/>
  <c r="R31"/>
  <c r="R51" s="1"/>
  <c r="X48"/>
  <c r="I58" i="5"/>
  <c r="J35" i="9"/>
  <c r="J63" s="1"/>
  <c r="E47" i="57"/>
  <c r="E25"/>
  <c r="B14" i="58"/>
  <c r="B42"/>
  <c r="B32"/>
  <c r="B8"/>
  <c r="B41"/>
  <c r="O35" i="5"/>
  <c r="Q35" i="9" s="1"/>
  <c r="O31"/>
  <c r="O51" s="1"/>
  <c r="O31" i="5"/>
  <c r="O51" s="1"/>
  <c r="E35" i="43"/>
  <c r="E35" i="45" s="1"/>
  <c r="Y57" i="8"/>
  <c r="Q46"/>
  <c r="S44"/>
  <c r="G4" i="43"/>
  <c r="G50" s="1"/>
  <c r="AC57" i="4"/>
  <c r="R30" i="8"/>
  <c r="AC29" i="4"/>
  <c r="R9" i="8"/>
  <c r="E59"/>
  <c r="I8" i="62"/>
  <c r="B38"/>
  <c r="B40" s="1"/>
  <c r="B11"/>
  <c r="I11" s="1"/>
  <c r="B44"/>
  <c r="C15" i="60"/>
  <c r="C45" s="1"/>
  <c r="O46" i="8"/>
  <c r="W44"/>
  <c r="C20" i="43"/>
  <c r="C20" i="45" s="1"/>
  <c r="W41" i="8"/>
  <c r="C16" i="43"/>
  <c r="C16" i="45" s="1"/>
  <c r="K43" s="1"/>
  <c r="W37" i="8"/>
  <c r="W46" s="1"/>
  <c r="G25" i="43"/>
  <c r="G25" i="45" s="1"/>
  <c r="G17" i="43"/>
  <c r="G17" i="45" s="1"/>
  <c r="W38" i="8"/>
  <c r="G13" i="43"/>
  <c r="G13" i="45" s="1"/>
  <c r="W33" i="8"/>
  <c r="R28"/>
  <c r="F28" i="43" s="1"/>
  <c r="F28" i="45" s="1"/>
  <c r="AC55" i="4"/>
  <c r="N44" i="8"/>
  <c r="N47"/>
  <c r="C24" i="62"/>
  <c r="D7" i="57"/>
  <c r="D26" s="1"/>
  <c r="D23" i="43"/>
  <c r="D51" s="1"/>
  <c r="E31"/>
  <c r="E52" s="1"/>
  <c r="Y41" i="8"/>
  <c r="B26" i="58"/>
  <c r="B11"/>
  <c r="I34" i="45"/>
  <c r="S47" i="5"/>
  <c r="F21" i="45"/>
  <c r="I58" i="8"/>
  <c r="I57"/>
  <c r="E59" i="9"/>
  <c r="B12" i="44"/>
  <c r="N45" i="9"/>
  <c r="I35" i="45"/>
  <c r="Y58" i="4"/>
  <c r="O33" i="5"/>
  <c r="Q33" i="9" s="1"/>
  <c r="E33" i="44" s="1"/>
  <c r="O33" i="9"/>
  <c r="C33" i="44" s="1"/>
  <c r="O20" i="5"/>
  <c r="Q20" i="9" s="1"/>
  <c r="E20" i="44" s="1"/>
  <c r="O20" i="9"/>
  <c r="C20" i="44" s="1"/>
  <c r="O16" i="5"/>
  <c r="Q16" i="9" s="1"/>
  <c r="E16" i="44" s="1"/>
  <c r="O16" i="9"/>
  <c r="C16" i="44" s="1"/>
  <c r="O7" i="9"/>
  <c r="C7" i="44" s="1"/>
  <c r="O7" i="5"/>
  <c r="Q7" i="9" s="1"/>
  <c r="E7" i="44" s="1"/>
  <c r="C25" i="62"/>
  <c r="C27" s="1"/>
  <c r="C47"/>
  <c r="C32"/>
  <c r="C14"/>
  <c r="J14" s="1"/>
  <c r="E42"/>
  <c r="E43" s="1"/>
  <c r="E32"/>
  <c r="I23" i="43"/>
  <c r="I51" s="1"/>
  <c r="U45" i="8"/>
  <c r="E16" i="60"/>
  <c r="I15" i="43"/>
  <c r="I15" i="45" s="1"/>
  <c r="Y35" i="8"/>
  <c r="I11" i="43"/>
  <c r="Y31" i="8"/>
  <c r="Y43" s="1"/>
  <c r="R15"/>
  <c r="AC35" i="4"/>
  <c r="R7" i="8"/>
  <c r="AC27" i="4"/>
  <c r="B21" i="43"/>
  <c r="B21" i="45" s="1"/>
  <c r="V42" i="8"/>
  <c r="G56" i="9"/>
  <c r="B35" i="45"/>
  <c r="W54" i="8"/>
  <c r="Y37"/>
  <c r="Y46" s="1"/>
  <c r="Y44"/>
  <c r="Q47"/>
  <c r="S47"/>
  <c r="B25" i="58"/>
  <c r="I33" i="45"/>
  <c r="J40" i="8"/>
  <c r="I28" i="45" s="1"/>
  <c r="Y55" i="4"/>
  <c r="B41" i="62"/>
  <c r="B43" s="1"/>
  <c r="B11" i="57"/>
  <c r="B25"/>
  <c r="B47"/>
  <c r="B41"/>
  <c r="B26"/>
  <c r="F26" i="43"/>
  <c r="F26" i="45" s="1"/>
  <c r="V47" i="8"/>
  <c r="R23"/>
  <c r="R50" s="1"/>
  <c r="AC44" i="4"/>
  <c r="D27" i="43"/>
  <c r="D27" i="45" s="1"/>
  <c r="Y28" i="8"/>
  <c r="V33"/>
  <c r="Y48"/>
  <c r="M47" i="5"/>
  <c r="W55" i="8"/>
  <c r="O35" i="9"/>
  <c r="U46" i="8"/>
  <c r="G12" i="46"/>
  <c r="W24" i="8"/>
  <c r="E28" i="45"/>
  <c r="G57" i="8"/>
  <c r="G34" i="46"/>
  <c r="I27" i="45"/>
  <c r="F32"/>
  <c r="B24"/>
  <c r="C31"/>
  <c r="C52" s="1"/>
  <c r="B12"/>
  <c r="B29" i="65"/>
  <c r="X29" i="8"/>
  <c r="AC41" i="4"/>
  <c r="R20" i="8"/>
  <c r="B39" i="65"/>
  <c r="Y12" i="4"/>
  <c r="J4" i="8"/>
  <c r="J24" i="9"/>
  <c r="Q12" i="44" s="1"/>
  <c r="I56" i="5"/>
  <c r="I57"/>
  <c r="F57" i="8"/>
  <c r="D59" i="9"/>
  <c r="B23" i="44"/>
  <c r="B51" s="1"/>
  <c r="N46" i="9"/>
  <c r="B8" i="57"/>
  <c r="B38"/>
  <c r="B40" s="1"/>
  <c r="B23"/>
  <c r="B24" s="1"/>
  <c r="B32"/>
  <c r="B14"/>
  <c r="B42"/>
  <c r="I16" i="46"/>
  <c r="C24" i="45"/>
  <c r="G12"/>
  <c r="F56" i="9"/>
  <c r="D13" i="46"/>
  <c r="B50" l="1"/>
  <c r="B4" i="45"/>
  <c r="B50" s="1"/>
  <c r="B50" i="43"/>
  <c r="B40" i="58"/>
  <c r="C24"/>
  <c r="B31" i="46"/>
  <c r="B52" s="1"/>
  <c r="C40" i="62"/>
  <c r="B47" i="44"/>
  <c r="B4" i="46"/>
  <c r="N46" i="5"/>
  <c r="N47"/>
  <c r="L42" i="45"/>
  <c r="E27" i="58"/>
  <c r="E48" i="61"/>
  <c r="E49" s="1"/>
  <c r="K47" i="45"/>
  <c r="N53"/>
  <c r="I11"/>
  <c r="N31" s="1"/>
  <c r="N52" s="1"/>
  <c r="N82" s="1"/>
  <c r="AD25" i="4"/>
  <c r="E31" i="45"/>
  <c r="E52" s="1"/>
  <c r="Q23" i="44"/>
  <c r="B16" i="60"/>
  <c r="B31" s="1"/>
  <c r="G23" i="45"/>
  <c r="G51" s="1"/>
  <c r="D31"/>
  <c r="D52" s="1"/>
  <c r="Q31" i="44"/>
  <c r="C4"/>
  <c r="D7" i="61"/>
  <c r="I31" i="44"/>
  <c r="I52" s="1"/>
  <c r="I44" i="43"/>
  <c r="B46" i="44"/>
  <c r="E4"/>
  <c r="E50" s="1"/>
  <c r="C23"/>
  <c r="D7" i="60"/>
  <c r="Q4" i="44"/>
  <c r="B16" i="61"/>
  <c r="D13" i="60"/>
  <c r="I23" i="44"/>
  <c r="I51" s="1"/>
  <c r="D16" i="60"/>
  <c r="D48" s="1"/>
  <c r="T23" i="8"/>
  <c r="E15" i="57"/>
  <c r="AD58" i="4"/>
  <c r="G31" i="45"/>
  <c r="G52" s="1"/>
  <c r="G4"/>
  <c r="G50" s="1"/>
  <c r="Q23" i="9"/>
  <c r="D10" i="57"/>
  <c r="D13" i="61"/>
  <c r="C44" i="43"/>
  <c r="D4"/>
  <c r="E9" i="61"/>
  <c r="E22" s="1"/>
  <c r="B44" i="43"/>
  <c r="B24" i="58"/>
  <c r="L25" i="45"/>
  <c r="C44" i="14"/>
  <c r="C36"/>
  <c r="C58" s="1"/>
  <c r="C17"/>
  <c r="C57" s="1"/>
  <c r="L46" i="45"/>
  <c r="L44"/>
  <c r="K34"/>
  <c r="K30"/>
  <c r="L31"/>
  <c r="L52" s="1"/>
  <c r="L82" s="1"/>
  <c r="C28" i="60"/>
  <c r="C30" s="1"/>
  <c r="K33" i="45"/>
  <c r="K45"/>
  <c r="C25" i="61"/>
  <c r="N47" i="45"/>
  <c r="L33"/>
  <c r="C48" i="58"/>
  <c r="C49" s="1"/>
  <c r="B30" i="57"/>
  <c r="U45" i="9"/>
  <c r="R5" i="5"/>
  <c r="T5" i="9" s="1"/>
  <c r="H5" i="44" s="1"/>
  <c r="H5" i="46" s="1"/>
  <c r="E8"/>
  <c r="U47" i="9"/>
  <c r="U46"/>
  <c r="B46" i="57"/>
  <c r="E30" i="46"/>
  <c r="B48" i="62"/>
  <c r="B49" s="1"/>
  <c r="D9" i="58"/>
  <c r="D22" s="1"/>
  <c r="D24" s="1"/>
  <c r="E33" i="62"/>
  <c r="L58" i="45"/>
  <c r="M53"/>
  <c r="K58"/>
  <c r="K25"/>
  <c r="L45"/>
  <c r="I47" i="43"/>
  <c r="I45"/>
  <c r="D31" i="62"/>
  <c r="M46" i="45"/>
  <c r="X25" i="8"/>
  <c r="AD29" i="4"/>
  <c r="E11" i="62"/>
  <c r="L11" s="1"/>
  <c r="E45" i="43"/>
  <c r="E19" i="46"/>
  <c r="AD33" i="4"/>
  <c r="AD55"/>
  <c r="X35" i="8"/>
  <c r="K31" i="45"/>
  <c r="K52" s="1"/>
  <c r="K82" s="1"/>
  <c r="K42"/>
  <c r="X30" i="8"/>
  <c r="AD35" i="4"/>
  <c r="T16" i="8"/>
  <c r="H16" i="43" s="1"/>
  <c r="H16" i="45" s="1"/>
  <c r="N43" s="1"/>
  <c r="K27"/>
  <c r="X33" i="8"/>
  <c r="L34" i="45"/>
  <c r="P47" i="8"/>
  <c r="R47" i="4"/>
  <c r="E32" i="46"/>
  <c r="E24"/>
  <c r="R48" i="4"/>
  <c r="C9" i="46"/>
  <c r="T31" i="8"/>
  <c r="T51" s="1"/>
  <c r="P45"/>
  <c r="T12"/>
  <c r="H12" i="43" s="1"/>
  <c r="T6" i="8"/>
  <c r="H6" i="43" s="1"/>
  <c r="H6" i="45" s="1"/>
  <c r="N26" s="1"/>
  <c r="C13" i="46"/>
  <c r="T25" i="8"/>
  <c r="H25" i="43" s="1"/>
  <c r="H25" i="45" s="1"/>
  <c r="N54" s="1"/>
  <c r="O45" i="5"/>
  <c r="AD44" i="4"/>
  <c r="C23" i="45"/>
  <c r="C51" s="1"/>
  <c r="C27" i="46"/>
  <c r="T29" i="8"/>
  <c r="H29" i="43" s="1"/>
  <c r="H29" i="45" s="1"/>
  <c r="N58" s="1"/>
  <c r="R46" i="4"/>
  <c r="P44" i="8"/>
  <c r="K44" i="45"/>
  <c r="E17" i="46"/>
  <c r="C4" i="45"/>
  <c r="C50" s="1"/>
  <c r="E8" i="65"/>
  <c r="X31" i="8"/>
  <c r="X43" s="1"/>
  <c r="C47" i="43"/>
  <c r="X45" i="8"/>
  <c r="X41"/>
  <c r="L54" i="45"/>
  <c r="D33" i="46"/>
  <c r="AD41" i="4"/>
  <c r="T8" i="8"/>
  <c r="H8" i="43" s="1"/>
  <c r="H8" i="45" s="1"/>
  <c r="N28" s="1"/>
  <c r="E40" i="62"/>
  <c r="K54" i="45"/>
  <c r="T7" i="8"/>
  <c r="H7" i="43" s="1"/>
  <c r="H7" i="45" s="1"/>
  <c r="N27" s="1"/>
  <c r="F16" i="43"/>
  <c r="F16" i="45" s="1"/>
  <c r="M43" s="1"/>
  <c r="C31" i="60"/>
  <c r="C17"/>
  <c r="E23"/>
  <c r="G23" i="44"/>
  <c r="G51" s="1"/>
  <c r="C22" i="46"/>
  <c r="C29"/>
  <c r="AD30" i="4"/>
  <c r="M31" i="45"/>
  <c r="M52" s="1"/>
  <c r="M82" s="1"/>
  <c r="E33" i="57"/>
  <c r="X54" i="8"/>
  <c r="AD45" i="4"/>
  <c r="P44" i="9"/>
  <c r="L49" i="45"/>
  <c r="C44" i="61"/>
  <c r="C22"/>
  <c r="E25" i="60"/>
  <c r="E47"/>
  <c r="C26"/>
  <c r="C41"/>
  <c r="C43" s="1"/>
  <c r="E38" i="65"/>
  <c r="E25" i="61"/>
  <c r="C18" i="46"/>
  <c r="C26"/>
  <c r="E27" i="57"/>
  <c r="E16" i="46"/>
  <c r="E14"/>
  <c r="E32" i="61"/>
  <c r="E33" s="1"/>
  <c r="C46" i="43"/>
  <c r="E43" i="60"/>
  <c r="C45" i="43"/>
  <c r="C21" i="46"/>
  <c r="K49" i="45"/>
  <c r="L29"/>
  <c r="E39" i="58"/>
  <c r="E40" s="1"/>
  <c r="E22"/>
  <c r="E24" s="1"/>
  <c r="X38" i="8"/>
  <c r="P45" i="9"/>
  <c r="D32" i="46"/>
  <c r="E44" i="58"/>
  <c r="C43"/>
  <c r="C24" i="57"/>
  <c r="M49" i="45"/>
  <c r="M30"/>
  <c r="M26"/>
  <c r="C32" i="60"/>
  <c r="C27" i="57"/>
  <c r="C39" i="60"/>
  <c r="L43" i="45"/>
  <c r="J58" i="8"/>
  <c r="I4" i="45"/>
  <c r="I50" s="1"/>
  <c r="L59"/>
  <c r="L30"/>
  <c r="K29"/>
  <c r="O48" i="15"/>
  <c r="O47"/>
  <c r="R34" i="5"/>
  <c r="T34" i="9" s="1"/>
  <c r="H34" i="44" s="1"/>
  <c r="H34" i="46" s="1"/>
  <c r="R12" i="5"/>
  <c r="T12" i="9" s="1"/>
  <c r="H12" i="44" s="1"/>
  <c r="H12" i="46" s="1"/>
  <c r="N59" i="45"/>
  <c r="F8" i="43"/>
  <c r="F8" i="45" s="1"/>
  <c r="M28" s="1"/>
  <c r="X39" i="8"/>
  <c r="P28" i="5"/>
  <c r="R28" i="9" s="1"/>
  <c r="F28" i="44" s="1"/>
  <c r="F28" i="46" s="1"/>
  <c r="AD39" i="4"/>
  <c r="S44" i="9"/>
  <c r="T26" i="8"/>
  <c r="H26" i="43" s="1"/>
  <c r="H26" i="45" s="1"/>
  <c r="H10" i="43"/>
  <c r="H10" i="45" s="1"/>
  <c r="N30" s="1"/>
  <c r="D33" i="62"/>
  <c r="N33" i="45"/>
  <c r="X56" i="8"/>
  <c r="X40"/>
  <c r="G31" i="44"/>
  <c r="G52" s="1"/>
  <c r="AD57" i="4"/>
  <c r="I12" i="45"/>
  <c r="J57" i="8"/>
  <c r="G24" i="14"/>
  <c r="G52" s="1"/>
  <c r="G32"/>
  <c r="G53" s="1"/>
  <c r="R26" i="5"/>
  <c r="T26" i="9" s="1"/>
  <c r="H26" i="44" s="1"/>
  <c r="H26" i="46" s="1"/>
  <c r="P8" i="5"/>
  <c r="R8" i="9" s="1"/>
  <c r="F8" i="44" s="1"/>
  <c r="F8" i="46" s="1"/>
  <c r="S47" i="66"/>
  <c r="S46"/>
  <c r="P15" i="5"/>
  <c r="R15" i="9" s="1"/>
  <c r="F15" i="44" s="1"/>
  <c r="F15" i="46" s="1"/>
  <c r="R32" i="5"/>
  <c r="T32" i="9" s="1"/>
  <c r="H32" i="44" s="1"/>
  <c r="H32" i="46" s="1"/>
  <c r="R24" i="5"/>
  <c r="T24" i="9" s="1"/>
  <c r="H24" i="44" s="1"/>
  <c r="H24" i="46" s="1"/>
  <c r="R30" i="5"/>
  <c r="T30" i="9" s="1"/>
  <c r="H30" i="44" s="1"/>
  <c r="H30" i="46" s="1"/>
  <c r="P5" i="5"/>
  <c r="R5" i="9" s="1"/>
  <c r="F5" i="44" s="1"/>
  <c r="F5" i="46" s="1"/>
  <c r="S49" i="66"/>
  <c r="R13" i="5"/>
  <c r="T13" i="9" s="1"/>
  <c r="H13" i="44" s="1"/>
  <c r="H13" i="46" s="1"/>
  <c r="P26" i="5"/>
  <c r="R26" i="9" s="1"/>
  <c r="F26" i="44" s="1"/>
  <c r="F26" i="46" s="1"/>
  <c r="P10" i="5"/>
  <c r="R10" i="9" s="1"/>
  <c r="F10" i="44" s="1"/>
  <c r="F10" i="46" s="1"/>
  <c r="F34"/>
  <c r="R17" i="5"/>
  <c r="T17" i="9" s="1"/>
  <c r="H17" i="44" s="1"/>
  <c r="H17" i="46" s="1"/>
  <c r="H16"/>
  <c r="P16" i="5"/>
  <c r="R16" i="9" s="1"/>
  <c r="F16" i="44" s="1"/>
  <c r="F16" i="46" s="1"/>
  <c r="R25" i="5"/>
  <c r="T25" i="9" s="1"/>
  <c r="H25" i="44" s="1"/>
  <c r="H25" i="46" s="1"/>
  <c r="P25" i="5"/>
  <c r="R25" i="9" s="1"/>
  <c r="F25" i="44" s="1"/>
  <c r="F25" i="46" s="1"/>
  <c r="P18" i="5"/>
  <c r="R18" i="9" s="1"/>
  <c r="F18" i="44" s="1"/>
  <c r="F18" i="46" s="1"/>
  <c r="R20" i="5"/>
  <c r="T20" i="9" s="1"/>
  <c r="H20" i="44" s="1"/>
  <c r="H20" i="46" s="1"/>
  <c r="I58" i="66"/>
  <c r="I57"/>
  <c r="I59"/>
  <c r="E22" i="57"/>
  <c r="E24" s="1"/>
  <c r="E44"/>
  <c r="E11"/>
  <c r="AD34" i="4"/>
  <c r="T14" i="8"/>
  <c r="H14" i="43" s="1"/>
  <c r="H14" i="45" s="1"/>
  <c r="N34" s="1"/>
  <c r="G45" i="43"/>
  <c r="F32" i="46"/>
  <c r="E46" i="43"/>
  <c r="I46"/>
  <c r="E26" i="60"/>
  <c r="P19" i="5"/>
  <c r="R19" i="9" s="1"/>
  <c r="F19" i="44" s="1"/>
  <c r="F19" i="46" s="1"/>
  <c r="R18" i="5"/>
  <c r="T18" i="9" s="1"/>
  <c r="H18" i="44" s="1"/>
  <c r="H18" i="46" s="1"/>
  <c r="C5"/>
  <c r="D38" i="60"/>
  <c r="P13" i="5"/>
  <c r="R13" i="9" s="1"/>
  <c r="F13" i="44" s="1"/>
  <c r="F13" i="46" s="1"/>
  <c r="C30" i="57"/>
  <c r="E32" i="60"/>
  <c r="P34" i="9"/>
  <c r="D34" i="44" s="1"/>
  <c r="D34" i="46" s="1"/>
  <c r="B23" i="45"/>
  <c r="B51" s="1"/>
  <c r="T37" i="8"/>
  <c r="D11" i="46"/>
  <c r="G46" i="43"/>
  <c r="C34" i="46"/>
  <c r="E49" i="57"/>
  <c r="R33" i="5"/>
  <c r="T33" i="9" s="1"/>
  <c r="H33" i="44" s="1"/>
  <c r="H33" i="46" s="1"/>
  <c r="G5" i="14"/>
  <c r="P17" i="5"/>
  <c r="R17" i="9" s="1"/>
  <c r="F17" i="44" s="1"/>
  <c r="F17" i="46" s="1"/>
  <c r="AD43" i="4"/>
  <c r="P47" i="9"/>
  <c r="C47" i="65"/>
  <c r="O49" i="15"/>
  <c r="C14" i="60"/>
  <c r="E44" i="62"/>
  <c r="L26" i="45"/>
  <c r="D9" i="57"/>
  <c r="O46" i="15"/>
  <c r="F11" i="46"/>
  <c r="D19"/>
  <c r="D27"/>
  <c r="E15"/>
  <c r="H8"/>
  <c r="F12"/>
  <c r="F24"/>
  <c r="E11"/>
  <c r="E33"/>
  <c r="S46" i="9"/>
  <c r="S47"/>
  <c r="S45"/>
  <c r="G4" i="44"/>
  <c r="G50" s="1"/>
  <c r="R11" i="5"/>
  <c r="T11" i="9" s="1"/>
  <c r="H11" i="44" s="1"/>
  <c r="H11" i="46" s="1"/>
  <c r="D31" i="44"/>
  <c r="D52" s="1"/>
  <c r="D23"/>
  <c r="D51" s="1"/>
  <c r="D10" i="58"/>
  <c r="I37" i="44"/>
  <c r="I37" i="46" s="1"/>
  <c r="D16" i="61"/>
  <c r="D31" s="1"/>
  <c r="D4" i="44"/>
  <c r="D50" s="1"/>
  <c r="C37"/>
  <c r="C37" i="46" s="1"/>
  <c r="P20" i="5"/>
  <c r="R20" i="9" s="1"/>
  <c r="F20" i="44" s="1"/>
  <c r="F20" i="46" s="1"/>
  <c r="P27" i="5"/>
  <c r="R27" i="9" s="1"/>
  <c r="F27" i="44" s="1"/>
  <c r="F27" i="46" s="1"/>
  <c r="P6" i="5"/>
  <c r="R6" i="9" s="1"/>
  <c r="F6" i="44" s="1"/>
  <c r="F6" i="46" s="1"/>
  <c r="C46" i="14"/>
  <c r="R27" i="5"/>
  <c r="T27" i="9" s="1"/>
  <c r="H27" i="44" s="1"/>
  <c r="H27" i="46" s="1"/>
  <c r="G38" i="14"/>
  <c r="C45"/>
  <c r="H6" i="46"/>
  <c r="B45" i="43"/>
  <c r="E44"/>
  <c r="D46"/>
  <c r="M57" i="45"/>
  <c r="E23"/>
  <c r="E51" s="1"/>
  <c r="K46"/>
  <c r="H10" i="46"/>
  <c r="D21"/>
  <c r="H28"/>
  <c r="L57" i="45"/>
  <c r="N57"/>
  <c r="N49"/>
  <c r="D47" i="43"/>
  <c r="G47"/>
  <c r="E4" i="45"/>
  <c r="E50" s="1"/>
  <c r="B28" i="60"/>
  <c r="B30" s="1"/>
  <c r="B45"/>
  <c r="J58" i="9"/>
  <c r="B30" i="65"/>
  <c r="B23" i="61"/>
  <c r="B24" s="1"/>
  <c r="B11" i="65"/>
  <c r="B32" i="61"/>
  <c r="B8"/>
  <c r="B45"/>
  <c r="B28"/>
  <c r="B30" s="1"/>
  <c r="B44"/>
  <c r="E26" i="65"/>
  <c r="E8" i="60"/>
  <c r="E26" i="61"/>
  <c r="C48" i="60"/>
  <c r="E22"/>
  <c r="E44"/>
  <c r="E11"/>
  <c r="C28" i="61"/>
  <c r="C45"/>
  <c r="C46" i="58"/>
  <c r="E37" i="44"/>
  <c r="E37" i="46" s="1"/>
  <c r="B17" i="62"/>
  <c r="I17" s="1"/>
  <c r="B30" i="58"/>
  <c r="B14" i="65"/>
  <c r="B42"/>
  <c r="C40" i="57"/>
  <c r="C11" i="65"/>
  <c r="C11" i="61"/>
  <c r="B41" i="60"/>
  <c r="B26"/>
  <c r="B22"/>
  <c r="B44"/>
  <c r="B11"/>
  <c r="B25" i="65"/>
  <c r="C33" i="58"/>
  <c r="B37" i="46"/>
  <c r="F9"/>
  <c r="C17" i="58"/>
  <c r="D42" i="62"/>
  <c r="N44" i="45"/>
  <c r="R9" i="5"/>
  <c r="T9" i="9" s="1"/>
  <c r="H9" i="44" s="1"/>
  <c r="H9" i="46" s="1"/>
  <c r="R21" i="5"/>
  <c r="T21" i="9" s="1"/>
  <c r="H21" i="44" s="1"/>
  <c r="H21" i="46" s="1"/>
  <c r="I4" i="44"/>
  <c r="I50" s="1"/>
  <c r="C29" i="65"/>
  <c r="C39"/>
  <c r="D48"/>
  <c r="E32"/>
  <c r="E42"/>
  <c r="E43" s="1"/>
  <c r="F37" i="43"/>
  <c r="E39" i="65"/>
  <c r="E31"/>
  <c r="E48"/>
  <c r="C26"/>
  <c r="C27" s="1"/>
  <c r="C41"/>
  <c r="D37" i="43"/>
  <c r="E44" i="65"/>
  <c r="C30" i="58"/>
  <c r="B46" i="62"/>
  <c r="C42" i="61"/>
  <c r="C14"/>
  <c r="C32"/>
  <c r="D37" i="44"/>
  <c r="C39" i="61"/>
  <c r="C29"/>
  <c r="G37" i="46"/>
  <c r="E12" i="61"/>
  <c r="D12" i="46"/>
  <c r="F14"/>
  <c r="F22"/>
  <c r="F33"/>
  <c r="D17"/>
  <c r="D29"/>
  <c r="E10"/>
  <c r="E8" i="61"/>
  <c r="K59" i="45"/>
  <c r="M33"/>
  <c r="G44" i="43"/>
  <c r="M54" i="45"/>
  <c r="M58"/>
  <c r="B48" i="57"/>
  <c r="B49" s="1"/>
  <c r="B17"/>
  <c r="B31"/>
  <c r="B33" s="1"/>
  <c r="B17" i="58"/>
  <c r="B48"/>
  <c r="B49" s="1"/>
  <c r="B43" i="57"/>
  <c r="D8"/>
  <c r="B27"/>
  <c r="E47" i="43"/>
  <c r="E29" i="58"/>
  <c r="E23" i="61"/>
  <c r="L27" i="45"/>
  <c r="E23" i="65"/>
  <c r="L47" i="45"/>
  <c r="D31" i="65"/>
  <c r="C25" i="46"/>
  <c r="J60" i="8"/>
  <c r="P46" i="9"/>
  <c r="R19" i="5"/>
  <c r="T19" i="9" s="1"/>
  <c r="H19" i="44" s="1"/>
  <c r="H19" i="46" s="1"/>
  <c r="D8" i="58"/>
  <c r="D26"/>
  <c r="D41"/>
  <c r="K53" i="45"/>
  <c r="C16" i="46"/>
  <c r="C33"/>
  <c r="E49" i="58"/>
  <c r="X42" i="8"/>
  <c r="E43" i="57"/>
  <c r="C43"/>
  <c r="T4" i="8"/>
  <c r="T52" s="1"/>
  <c r="AD24" i="4"/>
  <c r="R45"/>
  <c r="F30" i="46"/>
  <c r="F21"/>
  <c r="F7"/>
  <c r="R22" i="5"/>
  <c r="T22" i="9" s="1"/>
  <c r="H22" i="44" s="1"/>
  <c r="H22" i="46" s="1"/>
  <c r="R14" i="5"/>
  <c r="T14" i="9" s="1"/>
  <c r="H14" i="44" s="1"/>
  <c r="H14" i="46" s="1"/>
  <c r="F29"/>
  <c r="R7" i="5"/>
  <c r="T7" i="9" s="1"/>
  <c r="H7" i="44" s="1"/>
  <c r="H7" i="46" s="1"/>
  <c r="R29" i="5"/>
  <c r="T29" i="9" s="1"/>
  <c r="H29" i="44" s="1"/>
  <c r="H29" i="46" s="1"/>
  <c r="H15"/>
  <c r="S48" i="66"/>
  <c r="N45" i="45"/>
  <c r="G36" i="14"/>
  <c r="C40"/>
  <c r="I60" i="66"/>
  <c r="B46" i="43"/>
  <c r="B31" i="45"/>
  <c r="B52" s="1"/>
  <c r="B41" i="65"/>
  <c r="B26"/>
  <c r="H7"/>
  <c r="E43" i="61"/>
  <c r="D42" i="58"/>
  <c r="B47" i="43"/>
  <c r="E20" i="46"/>
  <c r="U44" i="9"/>
  <c r="D38" i="65"/>
  <c r="D23"/>
  <c r="C28"/>
  <c r="C45"/>
  <c r="C46" s="1"/>
  <c r="J59" i="9"/>
  <c r="N29" i="45"/>
  <c r="L28"/>
  <c r="C20" i="46"/>
  <c r="J59" i="8"/>
  <c r="D48" i="58"/>
  <c r="V39" i="8"/>
  <c r="F18" i="43"/>
  <c r="F18" i="45" s="1"/>
  <c r="M45" s="1"/>
  <c r="B42" i="60"/>
  <c r="B32"/>
  <c r="C41" i="61"/>
  <c r="C26"/>
  <c r="K57" i="45"/>
  <c r="O44" i="9"/>
  <c r="E6" i="46"/>
  <c r="E28"/>
  <c r="O44" i="5"/>
  <c r="O45" i="9"/>
  <c r="B47" i="60"/>
  <c r="B25"/>
  <c r="D5" i="46"/>
  <c r="B14" i="61"/>
  <c r="D23"/>
  <c r="D38"/>
  <c r="B39" i="60"/>
  <c r="B39" i="61"/>
  <c r="B40" s="1"/>
  <c r="B14" i="60"/>
  <c r="B43" i="58"/>
  <c r="D33"/>
  <c r="V54" i="8"/>
  <c r="V24"/>
  <c r="F4" i="43"/>
  <c r="F50" s="1"/>
  <c r="R44" i="8"/>
  <c r="N46" i="45"/>
  <c r="F17" i="43"/>
  <c r="F17" i="45" s="1"/>
  <c r="M44" s="1"/>
  <c r="V38" i="8"/>
  <c r="D28" i="57"/>
  <c r="D45"/>
  <c r="V34" i="8"/>
  <c r="F14" i="43"/>
  <c r="F14" i="45" s="1"/>
  <c r="M34" s="1"/>
  <c r="I23"/>
  <c r="I51" s="1"/>
  <c r="F5" i="43"/>
  <c r="F5" i="45" s="1"/>
  <c r="M25" s="1"/>
  <c r="V25" i="8"/>
  <c r="F35" i="45"/>
  <c r="F31" i="43"/>
  <c r="F52" s="1"/>
  <c r="V57" i="8"/>
  <c r="R47"/>
  <c r="V48"/>
  <c r="F27" i="43"/>
  <c r="F27" i="45" s="1"/>
  <c r="D32" i="65"/>
  <c r="D42"/>
  <c r="N25" i="45"/>
  <c r="C23" i="61"/>
  <c r="C8"/>
  <c r="C38"/>
  <c r="F15" i="43"/>
  <c r="F15" i="45" s="1"/>
  <c r="M42" s="1"/>
  <c r="V35" i="8"/>
  <c r="C17" i="57"/>
  <c r="C31"/>
  <c r="C33" s="1"/>
  <c r="C48"/>
  <c r="C49" s="1"/>
  <c r="C42" i="65"/>
  <c r="C14"/>
  <c r="C32"/>
  <c r="C31" i="44"/>
  <c r="C52" s="1"/>
  <c r="O46" i="9"/>
  <c r="O47"/>
  <c r="B41" i="61"/>
  <c r="B43" s="1"/>
  <c r="B26"/>
  <c r="C16"/>
  <c r="B12" i="46"/>
  <c r="B44" i="44"/>
  <c r="D45" i="43"/>
  <c r="D23" i="45"/>
  <c r="D51" s="1"/>
  <c r="C10" i="60"/>
  <c r="C9"/>
  <c r="V56" i="8"/>
  <c r="F30" i="43"/>
  <c r="F30" i="45" s="1"/>
  <c r="M59" s="1"/>
  <c r="Q31" i="9"/>
  <c r="Q51" s="1"/>
  <c r="O46" i="5"/>
  <c r="O47"/>
  <c r="D26" i="62"/>
  <c r="D8"/>
  <c r="K8" s="1"/>
  <c r="D41"/>
  <c r="N42" i="45"/>
  <c r="B31" i="58"/>
  <c r="B33" s="1"/>
  <c r="B27"/>
  <c r="E14" i="57"/>
  <c r="E29"/>
  <c r="E39"/>
  <c r="E40" s="1"/>
  <c r="F7" i="43"/>
  <c r="F7" i="45" s="1"/>
  <c r="M27" s="1"/>
  <c r="V27" i="8"/>
  <c r="C31" i="62"/>
  <c r="C33" s="1"/>
  <c r="C48"/>
  <c r="C49" s="1"/>
  <c r="C17"/>
  <c r="J17" s="1"/>
  <c r="C23" i="65"/>
  <c r="C24" s="1"/>
  <c r="C8"/>
  <c r="C38"/>
  <c r="E7" i="46"/>
  <c r="D41" i="57"/>
  <c r="C35" i="44"/>
  <c r="C35" i="46" s="1"/>
  <c r="F23" i="43"/>
  <c r="F51" s="1"/>
  <c r="V44" i="8"/>
  <c r="R45"/>
  <c r="E12" i="60"/>
  <c r="R46" i="8"/>
  <c r="E31" i="60"/>
  <c r="E48"/>
  <c r="J56" i="8"/>
  <c r="I31" i="45"/>
  <c r="I52" s="1"/>
  <c r="F9" i="43"/>
  <c r="F9" i="45" s="1"/>
  <c r="M29" s="1"/>
  <c r="V29" i="8"/>
  <c r="E47" i="65"/>
  <c r="E25"/>
  <c r="C8" i="60"/>
  <c r="C23"/>
  <c r="C38"/>
  <c r="C7" i="46"/>
  <c r="B38" i="65"/>
  <c r="B40" s="1"/>
  <c r="B8"/>
  <c r="H6"/>
  <c r="B23"/>
  <c r="B24" s="1"/>
  <c r="L32" i="45"/>
  <c r="B47" i="61"/>
  <c r="B25"/>
  <c r="B48" i="65"/>
  <c r="B49" s="1"/>
  <c r="B31"/>
  <c r="B33" s="1"/>
  <c r="B17"/>
  <c r="B11" i="61"/>
  <c r="B44" i="45"/>
  <c r="K32"/>
  <c r="B45" i="44"/>
  <c r="B23" i="46"/>
  <c r="B51" s="1"/>
  <c r="M32" i="45"/>
  <c r="B23" i="60"/>
  <c r="B8"/>
  <c r="B38"/>
  <c r="F20" i="43"/>
  <c r="F20" i="45" s="1"/>
  <c r="M47" s="1"/>
  <c r="V41" i="8"/>
  <c r="I35" i="46"/>
  <c r="B35"/>
  <c r="I12"/>
  <c r="J56" i="9"/>
  <c r="J57"/>
  <c r="E12" i="44"/>
  <c r="Q44" i="9"/>
  <c r="H35" i="43"/>
  <c r="D44" l="1"/>
  <c r="D50"/>
  <c r="H23"/>
  <c r="H51" s="1"/>
  <c r="T50" i="8"/>
  <c r="Q45" i="9"/>
  <c r="Q50"/>
  <c r="D10" i="60" s="1"/>
  <c r="C23" i="46"/>
  <c r="C51" i="44"/>
  <c r="C4" i="46"/>
  <c r="C50" i="44"/>
  <c r="G45" i="45"/>
  <c r="I46" i="44"/>
  <c r="G46" i="45"/>
  <c r="L60"/>
  <c r="L80" s="1"/>
  <c r="B47" i="46"/>
  <c r="B44"/>
  <c r="L86" i="45"/>
  <c r="E4" i="46"/>
  <c r="E50" s="1"/>
  <c r="G44" i="45"/>
  <c r="I31" i="46"/>
  <c r="I52" s="1"/>
  <c r="G47" i="45"/>
  <c r="I23" i="46"/>
  <c r="I51" s="1"/>
  <c r="X28" i="8"/>
  <c r="C60" i="14"/>
  <c r="G47"/>
  <c r="C59"/>
  <c r="D32" i="61"/>
  <c r="D33" s="1"/>
  <c r="D42"/>
  <c r="D32" i="60"/>
  <c r="D42"/>
  <c r="H23" i="45"/>
  <c r="H51" s="1"/>
  <c r="H31" i="43"/>
  <c r="H52" s="1"/>
  <c r="D4" i="45"/>
  <c r="I45" i="44"/>
  <c r="C44"/>
  <c r="C31" i="46"/>
  <c r="C52" s="1"/>
  <c r="E46" i="45"/>
  <c r="D44" i="44"/>
  <c r="D31" i="46"/>
  <c r="D52" s="1"/>
  <c r="K24" i="45"/>
  <c r="C45"/>
  <c r="D46"/>
  <c r="I44" i="44"/>
  <c r="D45"/>
  <c r="G44"/>
  <c r="E23"/>
  <c r="X44" i="8"/>
  <c r="E15" i="60"/>
  <c r="E28" s="1"/>
  <c r="C45" i="44"/>
  <c r="R31" i="5"/>
  <c r="R51" s="1"/>
  <c r="R4"/>
  <c r="R52" s="1"/>
  <c r="P4"/>
  <c r="P52" s="1"/>
  <c r="G51" i="14"/>
  <c r="P31" i="5"/>
  <c r="P51" s="1"/>
  <c r="L84" i="45"/>
  <c r="C44"/>
  <c r="C30" i="65"/>
  <c r="E33" i="60"/>
  <c r="C27" i="61"/>
  <c r="I44" i="45"/>
  <c r="C40" i="60"/>
  <c r="C33"/>
  <c r="B27" i="65"/>
  <c r="B43" i="60"/>
  <c r="E40" i="65"/>
  <c r="E24" i="60"/>
  <c r="C47" i="45"/>
  <c r="C46" i="61"/>
  <c r="K86" i="45"/>
  <c r="X26" i="8"/>
  <c r="X55"/>
  <c r="X37"/>
  <c r="X46" s="1"/>
  <c r="H45" i="43"/>
  <c r="C46" i="45"/>
  <c r="E49" i="60"/>
  <c r="H12" i="45"/>
  <c r="N32" s="1"/>
  <c r="G47" i="44"/>
  <c r="G4" i="46"/>
  <c r="G50" s="1"/>
  <c r="E49" i="65"/>
  <c r="M86" i="45"/>
  <c r="T45" i="8"/>
  <c r="E27" i="60"/>
  <c r="X32" i="8"/>
  <c r="H46" i="43"/>
  <c r="T46" i="8"/>
  <c r="X57"/>
  <c r="D44" i="58"/>
  <c r="E44" i="61"/>
  <c r="E24"/>
  <c r="E11"/>
  <c r="X47" i="8"/>
  <c r="X34"/>
  <c r="E27" i="61"/>
  <c r="X27" i="8"/>
  <c r="B45" i="45"/>
  <c r="G45" i="44"/>
  <c r="G23" i="46"/>
  <c r="G51" s="1"/>
  <c r="D23"/>
  <c r="D51" s="1"/>
  <c r="E27" i="65"/>
  <c r="C24" i="61"/>
  <c r="E44" i="45"/>
  <c r="E28" i="57"/>
  <c r="E30" s="1"/>
  <c r="E45"/>
  <c r="E46" s="1"/>
  <c r="G31" i="46"/>
  <c r="G52" s="1"/>
  <c r="G46" i="44"/>
  <c r="E15" i="61"/>
  <c r="E17" i="57"/>
  <c r="I45" i="45"/>
  <c r="N86"/>
  <c r="P23" i="5"/>
  <c r="P50" s="1"/>
  <c r="G48" i="14"/>
  <c r="R23" i="5"/>
  <c r="R50" s="1"/>
  <c r="B46" i="61"/>
  <c r="G45" i="14"/>
  <c r="G46"/>
  <c r="E11" i="65"/>
  <c r="E22"/>
  <c r="E24" s="1"/>
  <c r="B43"/>
  <c r="I47" i="44"/>
  <c r="D46"/>
  <c r="D31" i="60"/>
  <c r="D4" i="46"/>
  <c r="D50" s="1"/>
  <c r="D47" i="44"/>
  <c r="F37" i="45"/>
  <c r="P37" i="5"/>
  <c r="R37"/>
  <c r="T37" i="9" s="1"/>
  <c r="P35" i="5"/>
  <c r="R35" i="9" s="1"/>
  <c r="R35" i="5"/>
  <c r="T35" i="9" s="1"/>
  <c r="E45" i="45"/>
  <c r="D45"/>
  <c r="E47"/>
  <c r="C43" i="65"/>
  <c r="C40" i="61"/>
  <c r="B46" i="60"/>
  <c r="B24"/>
  <c r="B27"/>
  <c r="B33"/>
  <c r="E29" i="65"/>
  <c r="E33"/>
  <c r="C30" i="61"/>
  <c r="D43" i="58"/>
  <c r="D43" i="62"/>
  <c r="B48" i="60"/>
  <c r="B49" s="1"/>
  <c r="C40" i="65"/>
  <c r="I4" i="46"/>
  <c r="I50" s="1"/>
  <c r="E14" i="65"/>
  <c r="D48" i="61"/>
  <c r="E17" i="62"/>
  <c r="L17" s="1"/>
  <c r="E28"/>
  <c r="E30" s="1"/>
  <c r="E45"/>
  <c r="E46" s="1"/>
  <c r="D37" i="45"/>
  <c r="H37" i="43"/>
  <c r="E17" i="65"/>
  <c r="C43" i="61"/>
  <c r="E39"/>
  <c r="E40" s="1"/>
  <c r="E29"/>
  <c r="E14"/>
  <c r="B31"/>
  <c r="B33" s="1"/>
  <c r="B48"/>
  <c r="B49" s="1"/>
  <c r="B17"/>
  <c r="D37" i="46"/>
  <c r="B17" i="60"/>
  <c r="H4" i="43"/>
  <c r="H50" s="1"/>
  <c r="T44" i="8"/>
  <c r="X24"/>
  <c r="T47"/>
  <c r="D44" i="62"/>
  <c r="D22"/>
  <c r="D24" s="1"/>
  <c r="D44" i="57"/>
  <c r="D46" s="1"/>
  <c r="D22"/>
  <c r="D24" s="1"/>
  <c r="D9" i="60"/>
  <c r="D35" i="44"/>
  <c r="D9" i="61"/>
  <c r="B47" i="45"/>
  <c r="B46"/>
  <c r="K60"/>
  <c r="K80" s="1"/>
  <c r="B40" i="60"/>
  <c r="F4" i="45"/>
  <c r="F50" s="1"/>
  <c r="F44" i="43"/>
  <c r="D33" i="65"/>
  <c r="F31" i="45"/>
  <c r="F52" s="1"/>
  <c r="F47" i="43"/>
  <c r="D41" i="65"/>
  <c r="D43" s="1"/>
  <c r="D8"/>
  <c r="D26"/>
  <c r="D47" i="62"/>
  <c r="D49" s="1"/>
  <c r="D25"/>
  <c r="D27" s="1"/>
  <c r="D11"/>
  <c r="K11" s="1"/>
  <c r="C22" i="60"/>
  <c r="C24" s="1"/>
  <c r="C11"/>
  <c r="C44"/>
  <c r="C46" s="1"/>
  <c r="C48" i="61"/>
  <c r="C49" s="1"/>
  <c r="C31"/>
  <c r="C33" s="1"/>
  <c r="C17"/>
  <c r="C48" i="65"/>
  <c r="C49" s="1"/>
  <c r="C31"/>
  <c r="C33" s="1"/>
  <c r="C17"/>
  <c r="C47" i="44"/>
  <c r="C46"/>
  <c r="E29" i="60"/>
  <c r="E39"/>
  <c r="E40" s="1"/>
  <c r="E14"/>
  <c r="D26" i="61"/>
  <c r="D41"/>
  <c r="D8"/>
  <c r="D11" i="57"/>
  <c r="D25"/>
  <c r="D27" s="1"/>
  <c r="D47"/>
  <c r="B27" i="61"/>
  <c r="D47" i="58"/>
  <c r="D49" s="1"/>
  <c r="D25"/>
  <c r="D27" s="1"/>
  <c r="D11"/>
  <c r="I46" i="45"/>
  <c r="I47"/>
  <c r="F45" i="43"/>
  <c r="F23" i="45"/>
  <c r="F51" s="1"/>
  <c r="F46" i="43"/>
  <c r="D8" i="60"/>
  <c r="D41"/>
  <c r="D26"/>
  <c r="E35" i="44"/>
  <c r="D10" i="61"/>
  <c r="E31" i="44"/>
  <c r="E52" s="1"/>
  <c r="Q46" i="9"/>
  <c r="Q47"/>
  <c r="C25" i="60"/>
  <c r="C27" s="1"/>
  <c r="C47"/>
  <c r="C49" s="1"/>
  <c r="B45" i="46"/>
  <c r="L81" i="45"/>
  <c r="L83"/>
  <c r="M81"/>
  <c r="M83"/>
  <c r="M84"/>
  <c r="B46" i="46"/>
  <c r="H35" i="45"/>
  <c r="E12" i="46"/>
  <c r="E44" i="44"/>
  <c r="K83" i="45"/>
  <c r="K81"/>
  <c r="K84"/>
  <c r="L24" l="1"/>
  <c r="D50"/>
  <c r="C45" i="46"/>
  <c r="C51"/>
  <c r="C44"/>
  <c r="C50"/>
  <c r="E45" i="44"/>
  <c r="E51"/>
  <c r="C46" i="46"/>
  <c r="D33" i="60"/>
  <c r="C47" i="46"/>
  <c r="H31" i="45"/>
  <c r="H52" s="1"/>
  <c r="I45" i="46"/>
  <c r="I46"/>
  <c r="D43" i="61"/>
  <c r="D43" i="60"/>
  <c r="N60" i="45"/>
  <c r="N80" s="1"/>
  <c r="G45" i="46"/>
  <c r="G44"/>
  <c r="E23"/>
  <c r="E51" s="1"/>
  <c r="I47"/>
  <c r="D47"/>
  <c r="D45"/>
  <c r="D44" i="45"/>
  <c r="D47"/>
  <c r="P47" i="5"/>
  <c r="R45"/>
  <c r="P45"/>
  <c r="T31" i="9"/>
  <c r="T51" s="1"/>
  <c r="R31"/>
  <c r="R51" s="1"/>
  <c r="H45" i="45"/>
  <c r="G46" i="46"/>
  <c r="D46"/>
  <c r="E28" i="65"/>
  <c r="E30" s="1"/>
  <c r="G47" i="46"/>
  <c r="I44"/>
  <c r="E17" i="60"/>
  <c r="T23" i="9"/>
  <c r="T50" s="1"/>
  <c r="E45" i="60"/>
  <c r="E46" s="1"/>
  <c r="P46" i="5"/>
  <c r="R23" i="9"/>
  <c r="R50" s="1"/>
  <c r="R46" i="5"/>
  <c r="R37" i="9"/>
  <c r="T4"/>
  <c r="T52" s="1"/>
  <c r="R44" i="5"/>
  <c r="R47"/>
  <c r="D44" i="46"/>
  <c r="R4" i="9"/>
  <c r="R52" s="1"/>
  <c r="P44" i="5"/>
  <c r="E45" i="65"/>
  <c r="E46" s="1"/>
  <c r="D15" i="58"/>
  <c r="D17" s="1"/>
  <c r="D16" i="57"/>
  <c r="D12" i="58"/>
  <c r="D14" s="1"/>
  <c r="H37" i="44"/>
  <c r="H37" i="45"/>
  <c r="E28" i="58"/>
  <c r="E30" s="1"/>
  <c r="E45"/>
  <c r="E46" s="1"/>
  <c r="E17"/>
  <c r="D35" i="46"/>
  <c r="D44" i="65"/>
  <c r="D22"/>
  <c r="D24" s="1"/>
  <c r="E45" i="61"/>
  <c r="E46" s="1"/>
  <c r="E28"/>
  <c r="E30" s="1"/>
  <c r="E17"/>
  <c r="H4" i="45"/>
  <c r="H50" s="1"/>
  <c r="H47" i="43"/>
  <c r="H44"/>
  <c r="D44" i="61"/>
  <c r="D22"/>
  <c r="D24" s="1"/>
  <c r="D22" i="60"/>
  <c r="D24" s="1"/>
  <c r="D44"/>
  <c r="F44" i="45"/>
  <c r="M24"/>
  <c r="E30" i="60"/>
  <c r="F47" i="45"/>
  <c r="M60"/>
  <c r="M80" s="1"/>
  <c r="F45"/>
  <c r="F46"/>
  <c r="D11" i="60"/>
  <c r="D47"/>
  <c r="D49" s="1"/>
  <c r="D25"/>
  <c r="D27" s="1"/>
  <c r="D11" i="61"/>
  <c r="D25"/>
  <c r="D27" s="1"/>
  <c r="D47"/>
  <c r="D49" s="1"/>
  <c r="E35" i="46"/>
  <c r="E46" i="44"/>
  <c r="E47"/>
  <c r="E31" i="46"/>
  <c r="E52" s="1"/>
  <c r="D47" i="65"/>
  <c r="D49" s="1"/>
  <c r="D25"/>
  <c r="D27" s="1"/>
  <c r="D11"/>
  <c r="N83" i="45"/>
  <c r="N81"/>
  <c r="N84"/>
  <c r="E44" i="46"/>
  <c r="E45"/>
  <c r="H31" i="44" l="1"/>
  <c r="H52" s="1"/>
  <c r="H46" i="45"/>
  <c r="R47" i="9"/>
  <c r="R46"/>
  <c r="D12" i="60"/>
  <c r="T46" i="9"/>
  <c r="D15" i="60"/>
  <c r="T47" i="9"/>
  <c r="F31" i="44"/>
  <c r="F52" s="1"/>
  <c r="T45" i="9"/>
  <c r="H23" i="44"/>
  <c r="H51" s="1"/>
  <c r="F23"/>
  <c r="F51" s="1"/>
  <c r="R45" i="9"/>
  <c r="F37" i="44"/>
  <c r="D12" i="61"/>
  <c r="H4" i="44"/>
  <c r="H50" s="1"/>
  <c r="T44" i="9"/>
  <c r="D15" i="61"/>
  <c r="F4" i="44"/>
  <c r="F50" s="1"/>
  <c r="R44" i="9"/>
  <c r="H37" i="46"/>
  <c r="D39" i="58"/>
  <c r="D40" s="1"/>
  <c r="N24" i="45"/>
  <c r="H47"/>
  <c r="H44"/>
  <c r="D29" i="58"/>
  <c r="D28"/>
  <c r="D45"/>
  <c r="D46" s="1"/>
  <c r="D28" i="62"/>
  <c r="D17"/>
  <c r="K17" s="1"/>
  <c r="D45"/>
  <c r="D46" s="1"/>
  <c r="D13" i="57"/>
  <c r="D12"/>
  <c r="F35" i="44"/>
  <c r="D17" i="57"/>
  <c r="D31"/>
  <c r="D48"/>
  <c r="D49" s="1"/>
  <c r="H35" i="44"/>
  <c r="D29" i="62"/>
  <c r="D39"/>
  <c r="D40" s="1"/>
  <c r="D14"/>
  <c r="K14" s="1"/>
  <c r="E47" i="46"/>
  <c r="E46"/>
  <c r="H31" l="1"/>
  <c r="H52" s="1"/>
  <c r="F31"/>
  <c r="F52" s="1"/>
  <c r="F46" i="44"/>
  <c r="H46"/>
  <c r="H45"/>
  <c r="H23" i="46"/>
  <c r="H51" s="1"/>
  <c r="F45" i="44"/>
  <c r="F23" i="46"/>
  <c r="F51" s="1"/>
  <c r="F37"/>
  <c r="H44" i="44"/>
  <c r="H4" i="46"/>
  <c r="H50" s="1"/>
  <c r="H47" i="44"/>
  <c r="F4" i="46"/>
  <c r="F50" s="1"/>
  <c r="F47" i="44"/>
  <c r="F44"/>
  <c r="D30" i="58"/>
  <c r="D45" i="60"/>
  <c r="D46" s="1"/>
  <c r="D28"/>
  <c r="D17"/>
  <c r="H35" i="46"/>
  <c r="D14" i="61"/>
  <c r="D39"/>
  <c r="D40" s="1"/>
  <c r="D29"/>
  <c r="D29" i="65"/>
  <c r="D39"/>
  <c r="D40" s="1"/>
  <c r="D14"/>
  <c r="D29" i="57"/>
  <c r="D30" s="1"/>
  <c r="D14"/>
  <c r="D39"/>
  <c r="D40" s="1"/>
  <c r="D30" i="62"/>
  <c r="D28" i="65"/>
  <c r="D45"/>
  <c r="D46" s="1"/>
  <c r="D17"/>
  <c r="D45" i="61"/>
  <c r="D46" s="1"/>
  <c r="D17"/>
  <c r="D28"/>
  <c r="D14" i="60"/>
  <c r="D39"/>
  <c r="D40" s="1"/>
  <c r="D29"/>
  <c r="F35" i="46"/>
  <c r="D32" i="57"/>
  <c r="D33" s="1"/>
  <c r="D42"/>
  <c r="D43" s="1"/>
  <c r="H45" i="46" l="1"/>
  <c r="H46"/>
  <c r="F45"/>
  <c r="F46"/>
  <c r="H44"/>
  <c r="H47"/>
  <c r="F44"/>
  <c r="F47"/>
  <c r="D30" i="65"/>
  <c r="D30" i="61"/>
  <c r="D30" i="60"/>
</calcChain>
</file>

<file path=xl/sharedStrings.xml><?xml version="1.0" encoding="utf-8"?>
<sst xmlns="http://schemas.openxmlformats.org/spreadsheetml/2006/main" count="906" uniqueCount="243">
  <si>
    <t>Gross domestic product</t>
  </si>
  <si>
    <t>Net national product</t>
  </si>
  <si>
    <t>Gross domestic income</t>
  </si>
  <si>
    <t>Gross national income</t>
  </si>
  <si>
    <t>Net domestic product</t>
  </si>
  <si>
    <t>Net domestic income</t>
  </si>
  <si>
    <t>Gross national product</t>
  </si>
  <si>
    <t>Net national income</t>
  </si>
  <si>
    <t>Net national product*</t>
  </si>
  <si>
    <t>Net domestic product*</t>
  </si>
  <si>
    <t>Net national income*</t>
  </si>
  <si>
    <t>Net domestic income*</t>
  </si>
  <si>
    <t>Gross domestic income*</t>
  </si>
  <si>
    <t>US</t>
  </si>
  <si>
    <t>Canada</t>
  </si>
  <si>
    <t>Current dollars</t>
  </si>
  <si>
    <t>Gross national product*</t>
  </si>
  <si>
    <t>GDP</t>
  </si>
  <si>
    <t>GDI</t>
  </si>
  <si>
    <t>GNP</t>
  </si>
  <si>
    <t>GNI</t>
  </si>
  <si>
    <t>NDP</t>
  </si>
  <si>
    <t>NDI</t>
  </si>
  <si>
    <t>NNP</t>
  </si>
  <si>
    <t>NNI</t>
  </si>
  <si>
    <t>Average annual growth rates</t>
  </si>
  <si>
    <t>80-89</t>
  </si>
  <si>
    <t>89-00</t>
  </si>
  <si>
    <t>00-08</t>
  </si>
  <si>
    <t>A</t>
  </si>
  <si>
    <t>B</t>
  </si>
  <si>
    <t>C</t>
  </si>
  <si>
    <t>D</t>
  </si>
  <si>
    <t>E</t>
  </si>
  <si>
    <t>F</t>
  </si>
  <si>
    <t>G</t>
  </si>
  <si>
    <t>H</t>
  </si>
  <si>
    <t>A+B</t>
  </si>
  <si>
    <t>(A/E)*F+(B/E)*G</t>
  </si>
  <si>
    <t>Year</t>
  </si>
  <si>
    <t>Population, annual average of mid-quarter estimates, thousands</t>
  </si>
  <si>
    <t>CCA</t>
  </si>
  <si>
    <t>Total Investment, Billions of Current Dollars</t>
  </si>
  <si>
    <t>Population, annual average of mid-quarter estimates, millions</t>
  </si>
  <si>
    <t>CCA, Billions of Current Dollars</t>
  </si>
  <si>
    <t>100*A/C</t>
  </si>
  <si>
    <t>100*B/D</t>
  </si>
  <si>
    <t>Population, annual average of mid-quarter estimates</t>
  </si>
  <si>
    <t>Source: Tables 5a, 5b, 6a, 6b</t>
  </si>
  <si>
    <t>Source: Tables 5a, 5b, 6a, 6b.</t>
  </si>
  <si>
    <t xml:space="preserve">82-08   </t>
  </si>
  <si>
    <t xml:space="preserve">  </t>
  </si>
  <si>
    <t>82-89</t>
  </si>
  <si>
    <t>Real inflow</t>
  </si>
  <si>
    <t>Real Outflow</t>
  </si>
  <si>
    <t>1961</t>
  </si>
  <si>
    <t>1962</t>
  </si>
  <si>
    <t>1963</t>
  </si>
  <si>
    <t>1964</t>
  </si>
  <si>
    <t>1965</t>
  </si>
  <si>
    <t>1966</t>
  </si>
  <si>
    <t>1967</t>
  </si>
  <si>
    <t>1968</t>
  </si>
  <si>
    <t>1969</t>
  </si>
  <si>
    <t>1970</t>
  </si>
  <si>
    <t>1971</t>
  </si>
  <si>
    <t>1972</t>
  </si>
  <si>
    <t>1973</t>
  </si>
  <si>
    <t>1974</t>
  </si>
  <si>
    <t>1975</t>
  </si>
  <si>
    <t>1976</t>
  </si>
  <si>
    <t>1977</t>
  </si>
  <si>
    <t>1978</t>
  </si>
  <si>
    <t>1979</t>
  </si>
  <si>
    <t>1980</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</si>
  <si>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</si>
  <si>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</si>
  <si>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</si>
  <si>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</si>
  <si>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</si>
  <si>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</si>
  <si>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</si>
  <si>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</si>
  <si>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</si>
  <si>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</si>
  <si>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</si>
  <si>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</si>
  <si>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</si>
  <si>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</si>
  <si>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</si>
  <si>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</si>
  <si>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</si>
  <si>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</si>
  <si>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</si>
  <si>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</si>
  <si>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</si>
  <si>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</si>
  <si>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</si>
  <si>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</si>
  <si>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</si>
  <si>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</si>
  <si>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</si>
  <si>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http://stats.oecd.org/Index.aspx?datasetcode=SNA_TABLE4</t>
  </si>
  <si>
    <t>CA$ per US$</t>
  </si>
  <si>
    <t>80-00</t>
  </si>
  <si>
    <t>*Calculated by CSLS.</t>
  </si>
  <si>
    <t xml:space="preserve">*Calculated by CSLS. </t>
  </si>
  <si>
    <t>Purchasing Power Parity</t>
  </si>
  <si>
    <t>Source: OECD National Accounts, Main Aggregates, Table 4, series PPPGDP.</t>
  </si>
  <si>
    <t>Net Investment Income from Non-Residents, Billions of Current Dollars</t>
  </si>
  <si>
    <t>Investment Income Inflows from Non-Residents, Billions of Current Dollars</t>
  </si>
  <si>
    <t>Investment Income Outflows to Non-Residents, Billions of Current Dollars</t>
  </si>
  <si>
    <t>Investment Income Inflows from Non-Residents, Millions of Current Dollars</t>
  </si>
  <si>
    <t>Investment Income Outflows to Non-Residents, Millions of Current Dollars</t>
  </si>
  <si>
    <t>Exports, nominal (billions of dollars)</t>
  </si>
  <si>
    <t>Imports, nominal (billions of dollars)</t>
  </si>
  <si>
    <t>Index of Tables</t>
  </si>
  <si>
    <t>*Underlying measures for Canada were calculated by CSLS. See Table 6.</t>
  </si>
  <si>
    <t>*Underlying measures were calculated by CSLS. See Table 5.</t>
  </si>
  <si>
    <t>Per capita measures calculated by CSLS using the population data above and the income and output estimates from Table 6.</t>
  </si>
  <si>
    <t>GDI, NDI and NNI are calculated by deflating the nominal series (Table 5) by the final domestic expenditure deflator. GNP is calculated by deflating the nominal series using the GDP deflator. NDP and NNP are calculated by subtracting real capital consumption allowances (Table 2) from real GDP and GNP, respectively.</t>
  </si>
  <si>
    <t>F=D-E</t>
  </si>
  <si>
    <t>C=A-B</t>
  </si>
  <si>
    <t>*Underlying income or output measure calculated by CSLS.</t>
  </si>
  <si>
    <t>Per capita measures calculated by CSLS using the population data above and the income and output estimates from Table 5b.</t>
  </si>
  <si>
    <t>Per capita measures calculated by CSLS using the population data above and the income and output estimates from Table 5a.</t>
  </si>
  <si>
    <t>*Underlying income or output measure calculated by CSLS, Table 6a.</t>
  </si>
  <si>
    <t>*Underlying income or output measure calculated by CSLS, Table 6b.</t>
  </si>
  <si>
    <t>Product and Income Measures</t>
  </si>
  <si>
    <t>National and Domestic Measures</t>
  </si>
  <si>
    <t>Gross and Net Measures</t>
  </si>
  <si>
    <t>Comparison of Product and Income Measures Per Capita</t>
  </si>
  <si>
    <t>Comparison of National and Domestic Measures Per Capita</t>
  </si>
  <si>
    <t>Comparison of Gross and Net Measures Per Capita</t>
  </si>
  <si>
    <t>Product and Income Measures Per Capita</t>
  </si>
  <si>
    <t>National and Domestic Measures Per Capita</t>
  </si>
  <si>
    <t>Gross and Net Measures Per Capita</t>
  </si>
  <si>
    <t>73-81</t>
  </si>
  <si>
    <t>81-89</t>
  </si>
  <si>
    <t>Peak-to-peak periods, average annual growth rates (%)</t>
  </si>
  <si>
    <t>Other periods, average annual growth rates (%)</t>
  </si>
  <si>
    <t>Peak-to-peak periods, average annual rate of growth (%)</t>
  </si>
  <si>
    <t>Other periods, average annual rate of growth (%)</t>
  </si>
  <si>
    <t>Difference</t>
  </si>
  <si>
    <t>Gross Government Investment, Billions of Current Dollars</t>
  </si>
  <si>
    <t>Gross Business Investment, Billions of Current Dollars</t>
  </si>
  <si>
    <t>Gross Total Investment, Billions of Current Dollars</t>
  </si>
  <si>
    <t>General governments gross fixed capital formation, Billions of Current Dollars</t>
  </si>
  <si>
    <t>Business gross fixed capital formation, Billions of Current Dollars</t>
  </si>
  <si>
    <t>Net Investment Income of Non-Residents, Millions of Current Dollars</t>
  </si>
  <si>
    <t>NDP and NNP are calculated by subtracting capital consumption allowances (Table 2) from the gross measures.</t>
  </si>
  <si>
    <t>Gross national income*</t>
  </si>
  <si>
    <t>81-08</t>
  </si>
  <si>
    <t xml:space="preserve">81-08   </t>
  </si>
  <si>
    <t xml:space="preserve">    81-08   </t>
  </si>
  <si>
    <t xml:space="preserve">   81-08   </t>
  </si>
  <si>
    <t>Source: Tables 9a, 10b and 16.</t>
  </si>
  <si>
    <t>Note: Based on CSLS rebasing of United States measures to a 2007 base year.</t>
  </si>
  <si>
    <t>Note: For a discussion and definition of the different measues of income and output, please consult "Aggregate Measures of Income and Output in Canada and the United States: Implications for Productivity and Living Standards", Chris Ross and Alexander Murray. Available at: http://www.csls.ca/ipm/19/IPM-19-ross-murray.pdf</t>
  </si>
  <si>
    <t>Source: Statistics Canada CANSIM Table 380-0064: GDP, Expenditure Based, Seasonally Adjusted Annual rates, Quarterly Averages.</t>
  </si>
  <si>
    <t>Source: GDP - Statistics Canada CANSIM Table 380-0063.</t>
  </si>
  <si>
    <t>GNP is calculated as GNP=GNI-GDI+GDP.</t>
  </si>
  <si>
    <t>Source: Tables 9b and 13.</t>
  </si>
  <si>
    <t>Source: Tables 9a and 14.</t>
  </si>
  <si>
    <t>Source: Tables 9a, 9b, 10a, 10b.</t>
  </si>
  <si>
    <t>Source: Tables 10b and 13.</t>
  </si>
  <si>
    <t>..</t>
  </si>
  <si>
    <t>Source: Bureau of Economic Analysis, NIPA tables 5.2.5 and 5.2.6 at http://www.bea.gov/national/nipaweb/DownSS2.asp. Current as of May 31, 2016.</t>
  </si>
  <si>
    <t>Source: Nominal CCA data are from CANSIM Table 380-0071, Annual Average of Quartely Data. Chained measure calculated by deflating the current dollar amount by the investment deflator from Table 1. Current as of May 31, 2016.</t>
  </si>
  <si>
    <t>Source: Bureau of Economic Analysis NIPA tables 1.7.5 and 1.7.6 at http://www.bea.gov/national/nipaweb/DownSS2.asp. Current as of May 31, 2016.</t>
  </si>
  <si>
    <t>Source: Nominal gross inflows and outflows are from CANSIM Table 380-0082, annual averages of quartely data. Chained dollar data are calculated by multiplying nominal net investment income of non-residents by 100 and dividing by the real gross national income volume index (CANSIM Table 380-0065).  Current as of May 31, 2016.</t>
  </si>
  <si>
    <t>Table 3b: Net Investment Income from Non-Residents, Canada, 1981-2015</t>
  </si>
  <si>
    <t>Source: Nominal imports and exports data are from BEA NIPA table 4.2.5, and the import and export volume indexes are from NIPA table 4.2.3 at http://www.bea.gov/national/nipaweb/DownSS2.asp. All current as of May 31, 2016. Price indexes are from BEA NIPA table 4.2.4. Chain-dollar export and import estimates are calculated by CSLS by adjusting the current-dollar import and export values for 2005 using the volume indexes.</t>
  </si>
  <si>
    <t>Source: Real export and import volumes are from Statistics Canada CANSIM Table 380-0064, seasonally adjusted, annual averages of quarterly data. Export and import price indexes are from CANSIM Table 380-0102. Current as of May 31, 2016.</t>
  </si>
  <si>
    <t>Source: Data for the United States are from Bureau of Economic Analysis NIPA table 1.7.5 (at http://www.bea.gov/national/nipaweb/DownSS2.asp) with the exception of NNI, which was calculated by CSLS by subtracting consumption of fixed capital (Table 2) from GNI. Current as of May 31, 2016.</t>
  </si>
  <si>
    <t>Source:  GDI, NDI, NNI, GNI - Statistics Canada Table 380-0083, Annual average, seasonally adjusted. Current as of May 31, 2016.</t>
  </si>
  <si>
    <t>Gross domestic purchases deflator</t>
  </si>
  <si>
    <t xml:space="preserve">Source: Bureau of Economic Analysis NIPA table 1.7.6 at http://www.bea.gov/national/nipaweb/DownSS2.asp. Net National Income was calculated by CSLS by deflating the nominal product measures in Table 5 with the gross domestic purchases deflator found in NIPA table 1.4.4 at http://www.bea.gov/national/nipaweb/DownSS2.asp. Current as of May 31, 2016. </t>
  </si>
  <si>
    <t>Final domestic demand (chained)</t>
  </si>
  <si>
    <t>Final domestic demand (current)</t>
  </si>
  <si>
    <t>CANSIM 380-0064</t>
  </si>
  <si>
    <t>Source: GDP is from Statistics Canada CANSIM Table 380-0064, annual averages of quarterly data, seasonally adjusted. GNI data are computed by deflating the nominal series (Table 5) using the final domestic expenditure deflator. Current as of May 31, 2016</t>
  </si>
  <si>
    <t>Source: Population data are from Bureau of Economic Analysis NIPA Table 2.1 at http://www.bea.gov/national/nipaweb/DownSS2.asp. Current as of May 31, 2016</t>
  </si>
  <si>
    <t>Source: Population data are from Statistics Canada CANSIM Table 051-0005 (series v1), averaged by CSLS. Current as of May 31, 2016.</t>
  </si>
  <si>
    <t>Source: Population data are from Bureau of Economic Analysis NIPA Table 2.1 http://www.bea.gov/national/nipaweb/DownSS2.asp. Current as of May 31, 2016.</t>
  </si>
  <si>
    <t>Source: Population data are from Statistics Canada CANSIM Table 051-0005 (series v1). Current as of May 31, 2016.</t>
  </si>
  <si>
    <t>Current as of May 31, 2016.</t>
  </si>
  <si>
    <t>Government Investment, Billions of Chained 2012$</t>
  </si>
  <si>
    <t>Gross Business Investment, Billions of Chained 2012$</t>
  </si>
  <si>
    <t>Government Investment Price Deflator, 2012=100</t>
  </si>
  <si>
    <t>Business Investment Price Deflator, 2012=100</t>
  </si>
  <si>
    <t>Investment Price Deflator, 2012=100</t>
  </si>
  <si>
    <t>81-17</t>
  </si>
  <si>
    <t>00-17</t>
  </si>
  <si>
    <t>08-17</t>
  </si>
  <si>
    <t>Table 1a: Government and Business Investment and Investment Deflator, United States, 1969-2017</t>
  </si>
  <si>
    <t>General governments gross fixed capital formation, Billions of Chained 2012$</t>
  </si>
  <si>
    <t>Business gross fixed capital formation, Billions of Chained 2012$</t>
  </si>
  <si>
    <t>Table 1b: Government and Business Investment and Investment Deflator, Canada, 1981-2018</t>
  </si>
  <si>
    <t>Table 2a: Consumption of Fixed Capital by Business and Government, United States, 1969-2018</t>
  </si>
  <si>
    <t>00-18</t>
  </si>
  <si>
    <t>08-18</t>
  </si>
  <si>
    <t>81-18</t>
  </si>
  <si>
    <t xml:space="preserve">Source: Nominal CCA data are from the Bureau of Economic Analysis NIPA table 1.7.5 at http://www.bea.gov/national/nipaweb/DownSS2.asp. Chained CCA data are calculated by subtracting the chained (2012$) NNP from chained (2012$) GDP amounts. Current as of May 31, 2016. </t>
  </si>
  <si>
    <t>CCA, Billions of Chained 2012$</t>
  </si>
  <si>
    <t>Investment Income Inflows from Non-Residents, Billions of Chained 2012$</t>
  </si>
  <si>
    <t>Investment Income Outflows to Non-Residents, Billions of Chained 2012$</t>
  </si>
  <si>
    <t>Net Investment Income of Non-Residents, Billions of Chained 2012$</t>
  </si>
  <si>
    <t>Table 3a: Net Investment Income from Non-Residents, United States, 1969-2018</t>
  </si>
  <si>
    <t>Exports, volume index (2012 = 100)</t>
  </si>
  <si>
    <t>Imports, volume index (2012 = 100)</t>
  </si>
  <si>
    <t>Exports of goods and services, chained 2012$</t>
  </si>
  <si>
    <t>Imports of goods and services, chained 2012$</t>
  </si>
  <si>
    <t>Exports of goods and services, Price Index (2012 = 100)</t>
  </si>
  <si>
    <t>Imports of goods and services, Price Index (2012 = 100)</t>
  </si>
  <si>
    <t>Table 4a: Export and Import Volumes and Price Indexes, United States, 1969-2018</t>
  </si>
  <si>
    <t>Table 4b: Export and Import Volumes and Price Indexes, Canada, 1981-2018</t>
  </si>
  <si>
    <t>Exports of goods and services, billions of chained 2012$</t>
  </si>
  <si>
    <t>Imports of goods and services, billions of chained 2012$</t>
  </si>
  <si>
    <t>Table 5a: Output and Income Measures, Billions of Current Dollars, United States, 1969-2018</t>
  </si>
  <si>
    <t>Table 5b: Output and Income Measures, Billions of Current Dollars, Canada, 1981-2018</t>
  </si>
  <si>
    <t>Table 6a: Output and Income Measures, Billions of Chained 2012 Dollars, United States, 1969-2018</t>
  </si>
  <si>
    <t>Table 6b: Output and Income Measures, Billions of Chained 2012 Dollars, Canada, 1981-2018</t>
  </si>
  <si>
    <t>Table 7: Comparison of Income and Output Measures for Canada and the United States, Billions, 2018</t>
  </si>
  <si>
    <t>Chained 2012$</t>
  </si>
  <si>
    <t>Table 8a: Growth of Income and Output Measures for Canada and the United States, Average Annual Growth Rate, per cent, 2000-2018</t>
  </si>
  <si>
    <t>Table 8b: Growth of Income and Output measures for Canada and the United States, Average Annual Growth Rate, per cent, 1981-2018</t>
  </si>
  <si>
    <t>Table 11: Comparison of Income and Output Measures Per Capita for Canada and the United States, 2018</t>
  </si>
  <si>
    <t>Table 12a: Growth of Income and Output Measures Per Capita for Canada and the US, Average Annual Growth, per cent, 2000-2018</t>
  </si>
  <si>
    <t>Table 12b: Growth of Income and Output Measures Per Capita for Canada and the US, Average Annual Growth, per cent, 1981-2018</t>
  </si>
  <si>
    <t>Table 15: Nominal Canadian Income and Output Measures Per Capita as a Proportion of United States Levels, Per Cent, 1981-2018</t>
  </si>
  <si>
    <t>Table 14: Nominal Canadian Income and Output Measures Per Capita in Current US Dollars at PPP, 1981-2018</t>
  </si>
  <si>
    <t>Table 13: Purchasing Power Parity, Canada, 1961-2018</t>
  </si>
  <si>
    <t>Table 16: Real Canadian Income and Output Measures Per Capita in 2012 US Dollars at PPP, 1981-2018</t>
  </si>
  <si>
    <t>US Income and Output measures in 2012 US Dollars</t>
  </si>
  <si>
    <t>Table 9a: Output and Income Per Capita Measures, Current Dollars, United States, 1969-2018</t>
  </si>
  <si>
    <t>Table 9b: Output and Income Per Capita Measures, Current Dollars, Canada, 1981-2018</t>
  </si>
  <si>
    <t>Table 10a: Output and Income Measures Per Capita, Chained 2012 Dollars, United States, 1969-2018</t>
  </si>
  <si>
    <t>Table 10b: Output and Income Measures Per Capita, Chained 2012 Dollars, Canada, 1981-2018</t>
  </si>
  <si>
    <t>Real Gross National Income Volume Index (2012=100)</t>
  </si>
  <si>
    <t>Table 2b: Consumption of Fixed Capital by Business and Government, Canada, 1981-2018</t>
  </si>
  <si>
    <t>Table 17: Real Canadian Income and Output Measures Per Capita as a Proportion of United States Levels, Per Cent, 1981-2018</t>
  </si>
  <si>
    <t>Eight Aggregate Measures of Income and Output in Canada (1981-2018) and the United States (1969-2018)</t>
  </si>
</sst>
</file>

<file path=xl/styles.xml><?xml version="1.0" encoding="utf-8"?>
<styleSheet xmlns="http://schemas.openxmlformats.org/spreadsheetml/2006/main">
  <numFmts count="6">
    <numFmt numFmtId="164" formatCode="_(* #,##0.00_);_(* \(#,##0.00\);_(* &quot;-&quot;??_);_(@_)"/>
    <numFmt numFmtId="165" formatCode="0.0"/>
    <numFmt numFmtId="166" formatCode="#,##0.0"/>
    <numFmt numFmtId="167" formatCode="0.000"/>
    <numFmt numFmtId="168" formatCode="#,##0.0000"/>
    <numFmt numFmtId="169" formatCode="0.0%"/>
  </numFmts>
  <fonts count="32">
    <font>
      <sz val="11"/>
      <color theme="1"/>
      <name val="Calibri"/>
      <family val="2"/>
      <scheme val="minor"/>
    </font>
    <font>
      <sz val="10"/>
      <name val="Arial"/>
      <family val="2"/>
    </font>
    <font>
      <sz val="10"/>
      <name val="Times New Roman"/>
      <family val="1"/>
    </font>
    <font>
      <b/>
      <sz val="11"/>
      <color indexed="8"/>
      <name val="Times New Roman"/>
      <family val="1"/>
    </font>
    <font>
      <sz val="10"/>
      <name val="Arial"/>
      <family val="2"/>
    </font>
    <font>
      <sz val="11"/>
      <name val="Times New Roman"/>
      <family val="1"/>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sz val="11"/>
      <color theme="1"/>
      <name val="Times New Roman"/>
      <family val="1"/>
    </font>
    <font>
      <b/>
      <sz val="11"/>
      <color theme="1"/>
      <name val="Times New Roman"/>
      <family val="1"/>
    </font>
    <font>
      <sz val="11"/>
      <color theme="0"/>
      <name val="Times New Roman"/>
      <family val="1"/>
    </font>
    <font>
      <u/>
      <sz val="11"/>
      <color theme="10"/>
      <name val="Times New Roman"/>
      <family val="1"/>
    </font>
    <font>
      <b/>
      <sz val="10"/>
      <color theme="1"/>
      <name val="Times New Roman"/>
      <family val="1"/>
    </font>
    <font>
      <sz val="10"/>
      <color rgb="FF000000"/>
      <name val="Verdana"/>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6" applyNumberFormat="0" applyAlignment="0" applyProtection="0"/>
    <xf numFmtId="0" fontId="11" fillId="28" borderId="17" applyNumberFormat="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30" borderId="16" applyNumberFormat="0" applyAlignment="0" applyProtection="0"/>
    <xf numFmtId="0" fontId="19" fillId="0" borderId="21" applyNumberFormat="0" applyFill="0" applyAlignment="0" applyProtection="0"/>
    <xf numFmtId="0" fontId="20"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6"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32" borderId="22" applyNumberFormat="0" applyFont="0" applyAlignment="0" applyProtection="0"/>
    <xf numFmtId="0" fontId="21" fillId="27" borderId="23" applyNumberFormat="0" applyAlignment="0" applyProtection="0"/>
    <xf numFmtId="0" fontId="22" fillId="0" borderId="0" applyNumberFormat="0" applyFill="0" applyBorder="0" applyAlignment="0" applyProtection="0"/>
    <xf numFmtId="0" fontId="23" fillId="0" borderId="24" applyNumberFormat="0" applyFill="0" applyAlignment="0" applyProtection="0"/>
    <xf numFmtId="0" fontId="24" fillId="0" borderId="0" applyNumberFormat="0" applyFill="0" applyBorder="0" applyAlignment="0" applyProtection="0"/>
    <xf numFmtId="9" fontId="7" fillId="0" borderId="0" applyFont="0" applyFill="0" applyBorder="0" applyAlignment="0" applyProtection="0"/>
  </cellStyleXfs>
  <cellXfs count="209">
    <xf numFmtId="0" fontId="0" fillId="0" borderId="0" xfId="0"/>
    <xf numFmtId="0" fontId="25" fillId="0" borderId="0" xfId="0" applyFont="1"/>
    <xf numFmtId="0" fontId="25" fillId="0" borderId="0" xfId="0" applyFont="1" applyBorder="1"/>
    <xf numFmtId="3" fontId="26" fillId="0" borderId="2" xfId="0" applyNumberFormat="1" applyFont="1" applyBorder="1" applyAlignment="1">
      <alignment horizontal="center"/>
    </xf>
    <xf numFmtId="3" fontId="26" fillId="0" borderId="0" xfId="0" applyNumberFormat="1" applyFont="1"/>
    <xf numFmtId="0" fontId="27" fillId="0" borderId="0" xfId="0" applyFont="1"/>
    <xf numFmtId="2" fontId="26" fillId="0" borderId="0" xfId="0" applyNumberFormat="1" applyFont="1"/>
    <xf numFmtId="0" fontId="26" fillId="0" borderId="2" xfId="0" applyFont="1" applyBorder="1" applyAlignment="1">
      <alignment horizontal="right"/>
    </xf>
    <xf numFmtId="0" fontId="26" fillId="0" borderId="3" xfId="0" applyFont="1" applyBorder="1" applyAlignment="1">
      <alignment horizontal="center"/>
    </xf>
    <xf numFmtId="0" fontId="26" fillId="0" borderId="0" xfId="0" applyFont="1" applyBorder="1"/>
    <xf numFmtId="2" fontId="26" fillId="0" borderId="0" xfId="0" applyNumberFormat="1" applyFont="1" applyBorder="1" applyAlignment="1">
      <alignment horizontal="center"/>
    </xf>
    <xf numFmtId="2" fontId="26" fillId="0" borderId="2" xfId="0" applyNumberFormat="1" applyFont="1" applyBorder="1" applyAlignment="1">
      <alignment horizontal="center"/>
    </xf>
    <xf numFmtId="2" fontId="26" fillId="0" borderId="0" xfId="0" applyNumberFormat="1" applyFont="1" applyAlignment="1">
      <alignment horizontal="center"/>
    </xf>
    <xf numFmtId="0" fontId="26" fillId="0" borderId="0" xfId="0" applyFont="1" applyBorder="1" applyAlignment="1">
      <alignment horizontal="center"/>
    </xf>
    <xf numFmtId="1" fontId="26" fillId="0" borderId="0" xfId="0" applyNumberFormat="1" applyFont="1"/>
    <xf numFmtId="0" fontId="26" fillId="0" borderId="0" xfId="0" applyFont="1"/>
    <xf numFmtId="4" fontId="26" fillId="0" borderId="0" xfId="0" applyNumberFormat="1" applyFont="1" applyAlignment="1">
      <alignment horizontal="center"/>
    </xf>
    <xf numFmtId="0" fontId="26" fillId="0" borderId="0" xfId="0" applyFont="1" applyAlignment="1">
      <alignment vertical="top"/>
    </xf>
    <xf numFmtId="3" fontId="26" fillId="0" borderId="0" xfId="0" applyNumberFormat="1" applyFont="1" applyAlignment="1">
      <alignment horizontal="center"/>
    </xf>
    <xf numFmtId="166" fontId="26" fillId="0" borderId="0" xfId="0" applyNumberFormat="1" applyFont="1"/>
    <xf numFmtId="166" fontId="26" fillId="0" borderId="0" xfId="0" applyNumberFormat="1" applyFont="1" applyAlignment="1">
      <alignment horizontal="center"/>
    </xf>
    <xf numFmtId="0" fontId="26" fillId="0" borderId="0" xfId="0" applyFont="1" applyBorder="1" applyAlignment="1">
      <alignment horizontal="right"/>
    </xf>
    <xf numFmtId="4" fontId="26" fillId="0" borderId="0" xfId="0" applyNumberFormat="1" applyFont="1"/>
    <xf numFmtId="0" fontId="26" fillId="0" borderId="0" xfId="0" applyFont="1" applyAlignment="1">
      <alignment horizontal="center"/>
    </xf>
    <xf numFmtId="165" fontId="26" fillId="0" borderId="0" xfId="0" applyNumberFormat="1" applyFont="1"/>
    <xf numFmtId="0" fontId="29" fillId="0" borderId="0" xfId="35" applyFont="1" applyAlignment="1" applyProtection="1"/>
    <xf numFmtId="0" fontId="28" fillId="0" borderId="0" xfId="0" applyFont="1"/>
    <xf numFmtId="0" fontId="26" fillId="0" borderId="0" xfId="0" applyFont="1" applyAlignment="1">
      <alignment horizontal="left"/>
    </xf>
    <xf numFmtId="0" fontId="26" fillId="0" borderId="0" xfId="0" applyFont="1" applyAlignment="1">
      <alignment horizontal="center"/>
    </xf>
    <xf numFmtId="0" fontId="0" fillId="0" borderId="0" xfId="0"/>
    <xf numFmtId="0" fontId="26" fillId="0" borderId="0" xfId="0" applyFont="1"/>
    <xf numFmtId="0" fontId="26" fillId="0" borderId="0" xfId="0" applyFont="1"/>
    <xf numFmtId="0" fontId="26" fillId="0" borderId="0" xfId="0" applyFont="1" applyAlignment="1">
      <alignment horizontal="center"/>
    </xf>
    <xf numFmtId="0" fontId="26" fillId="0" borderId="0" xfId="0" applyFont="1"/>
    <xf numFmtId="0" fontId="26" fillId="0" borderId="0" xfId="0" applyFont="1"/>
    <xf numFmtId="0" fontId="26" fillId="0" borderId="0" xfId="0" applyFont="1"/>
    <xf numFmtId="0" fontId="26" fillId="0" borderId="0" xfId="0" applyFont="1"/>
    <xf numFmtId="2" fontId="28" fillId="0" borderId="0" xfId="0" applyNumberFormat="1" applyFont="1" applyBorder="1" applyAlignment="1">
      <alignment horizontal="center"/>
    </xf>
    <xf numFmtId="0" fontId="26" fillId="0" borderId="0" xfId="0" applyFont="1" applyAlignment="1"/>
    <xf numFmtId="166" fontId="26" fillId="0" borderId="0" xfId="0" applyNumberFormat="1" applyFont="1" applyAlignment="1">
      <alignment horizontal="center"/>
    </xf>
    <xf numFmtId="0" fontId="26" fillId="0" borderId="2" xfId="0" applyFont="1" applyBorder="1"/>
    <xf numFmtId="3" fontId="26" fillId="0" borderId="0" xfId="0" applyNumberFormat="1" applyFont="1" applyAlignment="1">
      <alignment horizontal="center"/>
    </xf>
    <xf numFmtId="0" fontId="26" fillId="0" borderId="0" xfId="0" applyFont="1"/>
    <xf numFmtId="0" fontId="26" fillId="0" borderId="2" xfId="0" applyFont="1" applyBorder="1" applyAlignment="1">
      <alignment horizontal="right"/>
    </xf>
    <xf numFmtId="0" fontId="30" fillId="0" borderId="0" xfId="0" applyFont="1"/>
    <xf numFmtId="3" fontId="26" fillId="0" borderId="0" xfId="0" applyNumberFormat="1" applyFont="1" applyBorder="1" applyAlignment="1">
      <alignment horizontal="center"/>
    </xf>
    <xf numFmtId="0" fontId="26" fillId="0" borderId="0" xfId="0" applyFont="1" applyAlignment="1">
      <alignment horizontal="center"/>
    </xf>
    <xf numFmtId="0" fontId="26" fillId="0" borderId="0" xfId="0" applyFont="1" applyBorder="1" applyAlignment="1">
      <alignment horizontal="center" vertical="center" wrapText="1"/>
    </xf>
    <xf numFmtId="0" fontId="27" fillId="0" borderId="0" xfId="0" applyFont="1" applyAlignment="1">
      <alignment horizontal="left" vertical="top" wrapText="1"/>
    </xf>
    <xf numFmtId="0" fontId="26" fillId="0" borderId="0" xfId="0" applyNumberFormat="1" applyFont="1"/>
    <xf numFmtId="0" fontId="26" fillId="0" borderId="10" xfId="0" applyFont="1" applyBorder="1"/>
    <xf numFmtId="165" fontId="26" fillId="0" borderId="0" xfId="0" applyNumberFormat="1" applyFont="1" applyBorder="1" applyAlignment="1">
      <alignment horizontal="center"/>
    </xf>
    <xf numFmtId="166" fontId="26" fillId="0" borderId="0" xfId="0" applyNumberFormat="1" applyFont="1" applyBorder="1" applyAlignment="1">
      <alignment horizontal="center"/>
    </xf>
    <xf numFmtId="0" fontId="26" fillId="0" borderId="12" xfId="0" applyFont="1" applyBorder="1" applyAlignment="1">
      <alignment horizontal="center" vertical="center"/>
    </xf>
    <xf numFmtId="166" fontId="26" fillId="0" borderId="1" xfId="0" applyNumberFormat="1" applyFont="1" applyBorder="1" applyAlignment="1">
      <alignment horizontal="center"/>
    </xf>
    <xf numFmtId="166" fontId="26" fillId="0" borderId="7" xfId="0" applyNumberFormat="1" applyFont="1" applyBorder="1" applyAlignment="1">
      <alignment horizontal="center"/>
    </xf>
    <xf numFmtId="0" fontId="26" fillId="0" borderId="14" xfId="0" applyFont="1" applyBorder="1" applyAlignment="1">
      <alignment horizontal="right"/>
    </xf>
    <xf numFmtId="2" fontId="26" fillId="0" borderId="10" xfId="0" applyNumberFormat="1" applyFont="1" applyBorder="1" applyAlignment="1">
      <alignment horizontal="center"/>
    </xf>
    <xf numFmtId="2" fontId="26" fillId="0" borderId="8" xfId="0" applyNumberFormat="1" applyFont="1" applyBorder="1" applyAlignment="1">
      <alignment horizontal="center"/>
    </xf>
    <xf numFmtId="2" fontId="26" fillId="0" borderId="1" xfId="0" applyNumberFormat="1" applyFont="1" applyBorder="1" applyAlignment="1">
      <alignment horizontal="center"/>
    </xf>
    <xf numFmtId="2" fontId="26" fillId="0" borderId="7" xfId="0" applyNumberFormat="1" applyFont="1" applyBorder="1" applyAlignment="1">
      <alignment horizontal="center"/>
    </xf>
    <xf numFmtId="166" fontId="26" fillId="0" borderId="0" xfId="0" applyNumberFormat="1" applyFont="1" applyFill="1" applyBorder="1" applyAlignment="1">
      <alignment horizontal="center"/>
    </xf>
    <xf numFmtId="0" fontId="26" fillId="0" borderId="0" xfId="0" applyFont="1" applyAlignment="1">
      <alignment horizontal="center"/>
    </xf>
    <xf numFmtId="0" fontId="26" fillId="0" borderId="0" xfId="0" applyFont="1" applyAlignment="1">
      <alignment vertical="top" wrapText="1"/>
    </xf>
    <xf numFmtId="0" fontId="26" fillId="0" borderId="0" xfId="0" applyFont="1" applyAlignment="1">
      <alignment wrapText="1"/>
    </xf>
    <xf numFmtId="0" fontId="26" fillId="0" borderId="0" xfId="0" applyFont="1" applyAlignment="1">
      <alignment horizontal="center"/>
    </xf>
    <xf numFmtId="0" fontId="26" fillId="0" borderId="14" xfId="0" applyFont="1" applyBorder="1" applyAlignment="1">
      <alignment horizontal="center"/>
    </xf>
    <xf numFmtId="0" fontId="26" fillId="0" borderId="11" xfId="0" applyFont="1" applyBorder="1" applyAlignment="1">
      <alignment horizontal="center"/>
    </xf>
    <xf numFmtId="0" fontId="26" fillId="0" borderId="15" xfId="0" applyFont="1" applyBorder="1" applyAlignment="1">
      <alignment horizontal="center"/>
    </xf>
    <xf numFmtId="0" fontId="27" fillId="0" borderId="2" xfId="0" applyFont="1" applyBorder="1" applyAlignment="1">
      <alignment horizontal="left"/>
    </xf>
    <xf numFmtId="0" fontId="27" fillId="0" borderId="0" xfId="0" applyFont="1" applyBorder="1" applyAlignment="1">
      <alignment horizontal="left"/>
    </xf>
    <xf numFmtId="166" fontId="26" fillId="0" borderId="13" xfId="0" applyNumberFormat="1" applyFont="1" applyBorder="1" applyAlignment="1">
      <alignment horizontal="center"/>
    </xf>
    <xf numFmtId="2" fontId="26" fillId="0" borderId="9" xfId="0" applyNumberFormat="1" applyFont="1" applyBorder="1" applyAlignment="1">
      <alignment horizontal="center"/>
    </xf>
    <xf numFmtId="2" fontId="26" fillId="0" borderId="13" xfId="0" applyNumberFormat="1" applyFont="1" applyBorder="1" applyAlignment="1">
      <alignment horizontal="center"/>
    </xf>
    <xf numFmtId="2" fontId="26" fillId="0" borderId="6" xfId="0" applyNumberFormat="1" applyFont="1" applyBorder="1" applyAlignment="1">
      <alignment horizontal="center"/>
    </xf>
    <xf numFmtId="3" fontId="26" fillId="0" borderId="10" xfId="0" applyNumberFormat="1" applyFont="1" applyBorder="1" applyAlignment="1">
      <alignment horizontal="center"/>
    </xf>
    <xf numFmtId="3" fontId="26" fillId="0" borderId="1" xfId="0" applyNumberFormat="1" applyFont="1" applyBorder="1" applyAlignment="1">
      <alignment horizontal="center"/>
    </xf>
    <xf numFmtId="0" fontId="27" fillId="0" borderId="0" xfId="0" applyFont="1" applyBorder="1" applyAlignment="1">
      <alignment horizontal="left" vertical="center" wrapText="1"/>
    </xf>
    <xf numFmtId="0" fontId="26" fillId="0" borderId="0" xfId="0" applyFont="1" applyBorder="1" applyAlignment="1">
      <alignment vertical="top" wrapText="1"/>
    </xf>
    <xf numFmtId="49" fontId="26" fillId="0" borderId="15" xfId="0" applyNumberFormat="1" applyFont="1" applyBorder="1" applyAlignment="1">
      <alignment horizontal="center"/>
    </xf>
    <xf numFmtId="0" fontId="26" fillId="0" borderId="10" xfId="0" applyFont="1" applyBorder="1" applyAlignment="1">
      <alignment horizontal="right"/>
    </xf>
    <xf numFmtId="0" fontId="26" fillId="0" borderId="13" xfId="0" applyFont="1" applyBorder="1" applyAlignment="1">
      <alignment horizontal="center"/>
    </xf>
    <xf numFmtId="0" fontId="26" fillId="0" borderId="6" xfId="0" applyFont="1" applyBorder="1" applyAlignment="1">
      <alignment horizontal="center"/>
    </xf>
    <xf numFmtId="3" fontId="26" fillId="0" borderId="8" xfId="0" applyNumberFormat="1" applyFont="1" applyBorder="1" applyAlignment="1">
      <alignment horizontal="center"/>
    </xf>
    <xf numFmtId="3" fontId="26" fillId="0" borderId="7" xfId="0" applyNumberFormat="1" applyFont="1" applyBorder="1" applyAlignment="1">
      <alignment horizontal="center"/>
    </xf>
    <xf numFmtId="0" fontId="27" fillId="0" borderId="0" xfId="0" applyFont="1" applyBorder="1"/>
    <xf numFmtId="0" fontId="26" fillId="0" borderId="12" xfId="0" applyFont="1" applyBorder="1" applyAlignment="1">
      <alignment horizontal="center"/>
    </xf>
    <xf numFmtId="0" fontId="26" fillId="0" borderId="15" xfId="0" applyFont="1" applyBorder="1" applyAlignment="1">
      <alignment horizontal="right"/>
    </xf>
    <xf numFmtId="49" fontId="26" fillId="0" borderId="11" xfId="0" applyNumberFormat="1" applyFont="1" applyBorder="1" applyAlignment="1">
      <alignment horizontal="center"/>
    </xf>
    <xf numFmtId="4" fontId="26" fillId="0" borderId="9" xfId="0" applyNumberFormat="1" applyFont="1" applyBorder="1" applyAlignment="1">
      <alignment horizontal="center"/>
    </xf>
    <xf numFmtId="4" fontId="26" fillId="0" borderId="10" xfId="0" applyNumberFormat="1" applyFont="1" applyBorder="1" applyAlignment="1">
      <alignment horizontal="center"/>
    </xf>
    <xf numFmtId="4" fontId="26" fillId="0" borderId="8" xfId="0" applyNumberFormat="1" applyFont="1" applyBorder="1" applyAlignment="1">
      <alignment horizontal="center"/>
    </xf>
    <xf numFmtId="4" fontId="26" fillId="0" borderId="13" xfId="0" applyNumberFormat="1" applyFont="1" applyBorder="1" applyAlignment="1">
      <alignment horizontal="center"/>
    </xf>
    <xf numFmtId="4" fontId="26" fillId="0" borderId="0" xfId="0" applyNumberFormat="1" applyFont="1" applyBorder="1" applyAlignment="1">
      <alignment horizontal="center"/>
    </xf>
    <xf numFmtId="4" fontId="26" fillId="0" borderId="2" xfId="0" applyNumberFormat="1" applyFont="1" applyBorder="1" applyAlignment="1">
      <alignment horizontal="center"/>
    </xf>
    <xf numFmtId="4" fontId="26" fillId="0" borderId="6" xfId="0" applyNumberFormat="1" applyFont="1" applyBorder="1" applyAlignment="1">
      <alignment horizontal="center"/>
    </xf>
    <xf numFmtId="4" fontId="26" fillId="0" borderId="1" xfId="0" applyNumberFormat="1" applyFont="1" applyBorder="1" applyAlignment="1">
      <alignment horizontal="center"/>
    </xf>
    <xf numFmtId="4" fontId="26" fillId="0" borderId="7" xfId="0" applyNumberFormat="1" applyFont="1" applyBorder="1" applyAlignment="1">
      <alignment horizontal="center"/>
    </xf>
    <xf numFmtId="0" fontId="2" fillId="0" borderId="0" xfId="64" applyFont="1" applyFill="1" applyBorder="1" applyAlignment="1">
      <alignment horizontal="center"/>
    </xf>
    <xf numFmtId="49" fontId="26" fillId="0" borderId="0" xfId="0" applyNumberFormat="1" applyFont="1" applyBorder="1" applyAlignment="1">
      <alignment horizontal="center"/>
    </xf>
    <xf numFmtId="49" fontId="26" fillId="0" borderId="6" xfId="0" applyNumberFormat="1" applyFont="1" applyBorder="1" applyAlignment="1">
      <alignment horizontal="center"/>
    </xf>
    <xf numFmtId="0" fontId="5" fillId="0" borderId="15" xfId="64" applyFont="1" applyFill="1" applyBorder="1" applyAlignment="1">
      <alignment horizontal="center"/>
    </xf>
    <xf numFmtId="0" fontId="5" fillId="0" borderId="14" xfId="57" applyFont="1" applyBorder="1" applyAlignment="1">
      <alignment horizontal="center"/>
    </xf>
    <xf numFmtId="0" fontId="5" fillId="0" borderId="11" xfId="57" applyFont="1" applyBorder="1" applyAlignment="1">
      <alignment horizontal="center"/>
    </xf>
    <xf numFmtId="166" fontId="26" fillId="0" borderId="0" xfId="0" applyNumberFormat="1" applyFont="1" applyBorder="1" applyAlignment="1">
      <alignment horizontal="center" vertical="center"/>
    </xf>
    <xf numFmtId="0" fontId="26" fillId="0" borderId="0" xfId="0" applyNumberFormat="1" applyFont="1" applyBorder="1" applyAlignment="1">
      <alignment horizontal="center"/>
    </xf>
    <xf numFmtId="0" fontId="26" fillId="0" borderId="0" xfId="0" applyNumberFormat="1" applyFont="1" applyBorder="1"/>
    <xf numFmtId="0" fontId="26" fillId="0" borderId="0" xfId="0" applyNumberFormat="1" applyFont="1" applyFill="1" applyBorder="1"/>
    <xf numFmtId="0" fontId="26" fillId="0" borderId="14" xfId="0" applyFont="1" applyBorder="1"/>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center"/>
    </xf>
    <xf numFmtId="168" fontId="26" fillId="0" borderId="0" xfId="0" applyNumberFormat="1" applyFont="1"/>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31" fillId="0" borderId="0" xfId="0" applyNumberFormat="1" applyFont="1" applyBorder="1"/>
    <xf numFmtId="4" fontId="26" fillId="0" borderId="0" xfId="0" applyNumberFormat="1" applyFont="1" applyBorder="1"/>
    <xf numFmtId="0" fontId="26" fillId="0" borderId="0" xfId="0" applyFont="1" applyAlignment="1">
      <alignment horizontal="left" vertical="top" wrapText="1"/>
    </xf>
    <xf numFmtId="3" fontId="26"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xf>
    <xf numFmtId="0" fontId="5" fillId="0" borderId="0" xfId="64" applyFont="1" applyFill="1" applyBorder="1" applyAlignment="1">
      <alignment horizontal="center"/>
    </xf>
    <xf numFmtId="167" fontId="26" fillId="0" borderId="8" xfId="0" applyNumberFormat="1" applyFont="1" applyBorder="1" applyAlignment="1">
      <alignment horizontal="center"/>
    </xf>
    <xf numFmtId="167" fontId="26" fillId="0" borderId="2" xfId="0" applyNumberFormat="1" applyFont="1" applyBorder="1" applyAlignment="1">
      <alignment horizontal="center"/>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center"/>
    </xf>
    <xf numFmtId="0" fontId="26" fillId="0" borderId="9" xfId="0" applyFont="1" applyBorder="1" applyAlignment="1">
      <alignment horizontal="center"/>
    </xf>
    <xf numFmtId="0" fontId="27" fillId="0" borderId="0" xfId="0" applyFont="1" applyAlignment="1"/>
    <xf numFmtId="0" fontId="26" fillId="0" borderId="0" xfId="0" applyFont="1" applyBorder="1" applyAlignment="1"/>
    <xf numFmtId="16" fontId="26" fillId="0" borderId="15" xfId="0" quotePrefix="1" applyNumberFormat="1" applyFont="1" applyBorder="1" applyAlignment="1">
      <alignment horizontal="center"/>
    </xf>
    <xf numFmtId="0" fontId="26" fillId="0" borderId="0" xfId="0" applyFont="1" applyBorder="1" applyAlignment="1">
      <alignment vertical="top"/>
    </xf>
    <xf numFmtId="0" fontId="26" fillId="0" borderId="0" xfId="0" applyFont="1" applyBorder="1" applyAlignment="1">
      <alignment horizontal="left" vertical="top" wrapText="1"/>
    </xf>
    <xf numFmtId="0" fontId="26" fillId="0" borderId="14" xfId="0" applyFont="1" applyBorder="1" applyAlignment="1"/>
    <xf numFmtId="0" fontId="26" fillId="0" borderId="11" xfId="0" applyFont="1" applyBorder="1" applyAlignment="1"/>
    <xf numFmtId="0" fontId="26" fillId="0" borderId="15" xfId="0" applyFont="1" applyBorder="1" applyAlignment="1"/>
    <xf numFmtId="49" fontId="26" fillId="0" borderId="14" xfId="0" applyNumberFormat="1" applyFont="1" applyBorder="1" applyAlignment="1">
      <alignment horizontal="center"/>
    </xf>
    <xf numFmtId="2" fontId="26" fillId="0" borderId="0" xfId="0" applyNumberFormat="1" applyFont="1" applyBorder="1"/>
    <xf numFmtId="169" fontId="26" fillId="0" borderId="0" xfId="71" applyNumberFormat="1" applyFont="1"/>
    <xf numFmtId="10" fontId="26" fillId="0" borderId="0" xfId="71" applyNumberFormat="1" applyFont="1" applyAlignment="1">
      <alignment horizontal="center"/>
    </xf>
    <xf numFmtId="0" fontId="26" fillId="0" borderId="0" xfId="0" applyFont="1" applyAlignment="1">
      <alignment wrapText="1"/>
    </xf>
    <xf numFmtId="0" fontId="26" fillId="0" borderId="0" xfId="0" applyFont="1" applyAlignment="1">
      <alignment horizontal="center"/>
    </xf>
    <xf numFmtId="0" fontId="26" fillId="0" borderId="12" xfId="0" applyFont="1" applyBorder="1" applyAlignment="1">
      <alignment horizontal="center"/>
    </xf>
    <xf numFmtId="0" fontId="26" fillId="0" borderId="11" xfId="0" quotePrefix="1" applyFont="1" applyBorder="1" applyAlignment="1">
      <alignment horizontal="center"/>
    </xf>
    <xf numFmtId="0" fontId="26" fillId="0" borderId="0" xfId="0" applyFont="1" applyAlignment="1">
      <alignment horizontal="center"/>
    </xf>
    <xf numFmtId="3" fontId="26" fillId="0" borderId="14" xfId="0" applyNumberFormat="1" applyFont="1" applyBorder="1" applyAlignment="1">
      <alignment horizontal="center"/>
    </xf>
    <xf numFmtId="3" fontId="26" fillId="0" borderId="11" xfId="0" applyNumberFormat="1" applyFont="1" applyBorder="1" applyAlignment="1">
      <alignment horizontal="center"/>
    </xf>
    <xf numFmtId="3" fontId="26" fillId="0" borderId="15" xfId="0" applyNumberFormat="1" applyFont="1" applyBorder="1" applyAlignment="1">
      <alignment horizontal="center"/>
    </xf>
    <xf numFmtId="0" fontId="26" fillId="0" borderId="9" xfId="0" applyFont="1" applyBorder="1" applyAlignment="1">
      <alignment horizontal="center"/>
    </xf>
    <xf numFmtId="16" fontId="26" fillId="0" borderId="11" xfId="0" quotePrefix="1" applyNumberFormat="1" applyFont="1" applyBorder="1" applyAlignment="1">
      <alignment horizontal="center"/>
    </xf>
    <xf numFmtId="0" fontId="26" fillId="0" borderId="15" xfId="0" quotePrefix="1" applyFont="1" applyBorder="1" applyAlignment="1">
      <alignment horizontal="center"/>
    </xf>
    <xf numFmtId="0" fontId="26" fillId="0" borderId="14" xfId="0" quotePrefix="1" applyFont="1" applyBorder="1" applyAlignment="1">
      <alignment horizontal="center"/>
    </xf>
    <xf numFmtId="49" fontId="26" fillId="0" borderId="15" xfId="0" quotePrefix="1" applyNumberFormat="1" applyFont="1" applyBorder="1" applyAlignment="1">
      <alignment horizontal="center"/>
    </xf>
    <xf numFmtId="0" fontId="26" fillId="0" borderId="4" xfId="0" applyFont="1" applyBorder="1" applyAlignment="1">
      <alignment horizontal="center"/>
    </xf>
    <xf numFmtId="0" fontId="26" fillId="0" borderId="3" xfId="0" applyFont="1" applyBorder="1" applyAlignment="1">
      <alignment horizontal="center"/>
    </xf>
    <xf numFmtId="0" fontId="26" fillId="0" borderId="0" xfId="0" applyFont="1" applyAlignment="1">
      <alignment horizontal="center"/>
    </xf>
    <xf numFmtId="0" fontId="26" fillId="0" borderId="13" xfId="0" applyFont="1" applyBorder="1"/>
    <xf numFmtId="4" fontId="26" fillId="0" borderId="14" xfId="0" applyNumberFormat="1" applyFont="1" applyBorder="1" applyAlignment="1">
      <alignment horizontal="center"/>
    </xf>
    <xf numFmtId="4" fontId="26" fillId="0" borderId="11" xfId="0" applyNumberFormat="1" applyFont="1" applyBorder="1" applyAlignment="1">
      <alignment horizontal="center"/>
    </xf>
    <xf numFmtId="4" fontId="26" fillId="0" borderId="15" xfId="0" applyNumberFormat="1" applyFont="1" applyBorder="1" applyAlignment="1">
      <alignment horizontal="center"/>
    </xf>
    <xf numFmtId="16" fontId="26" fillId="0" borderId="0" xfId="0" quotePrefix="1" applyNumberFormat="1" applyFont="1" applyBorder="1" applyAlignment="1">
      <alignment horizontal="center"/>
    </xf>
    <xf numFmtId="0" fontId="0" fillId="0" borderId="0" xfId="0"/>
    <xf numFmtId="3" fontId="0" fillId="0" borderId="0" xfId="0" applyNumberFormat="1"/>
    <xf numFmtId="165" fontId="26" fillId="0" borderId="0" xfId="0" applyNumberFormat="1" applyFont="1" applyBorder="1" applyAlignment="1">
      <alignment horizontal="center" vertical="center"/>
    </xf>
    <xf numFmtId="166" fontId="0" fillId="0" borderId="0" xfId="0" applyNumberFormat="1" applyAlignment="1">
      <alignment horizontal="right"/>
    </xf>
    <xf numFmtId="165"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xf numFmtId="3" fontId="26" fillId="0" borderId="0" xfId="71" applyNumberFormat="1" applyFont="1" applyBorder="1" applyAlignment="1">
      <alignment horizontal="center"/>
    </xf>
    <xf numFmtId="0" fontId="5" fillId="0" borderId="2" xfId="57" applyFont="1" applyBorder="1" applyAlignment="1">
      <alignment horizontal="center"/>
    </xf>
    <xf numFmtId="167" fontId="26" fillId="0" borderId="11" xfId="0" applyNumberFormat="1" applyFont="1" applyBorder="1" applyAlignment="1">
      <alignment horizontal="center"/>
    </xf>
    <xf numFmtId="0" fontId="5" fillId="0" borderId="7" xfId="57" applyFont="1" applyBorder="1" applyAlignment="1">
      <alignment horizontal="center"/>
    </xf>
    <xf numFmtId="0" fontId="26" fillId="0" borderId="0" xfId="0" applyFont="1" applyAlignment="1">
      <alignment wrapText="1"/>
    </xf>
    <xf numFmtId="0" fontId="26" fillId="0" borderId="9" xfId="0" applyFont="1" applyBorder="1" applyAlignment="1">
      <alignment horizontal="center"/>
    </xf>
    <xf numFmtId="0" fontId="26" fillId="0" borderId="12" xfId="0" applyFont="1" applyBorder="1" applyAlignment="1">
      <alignment horizontal="center"/>
    </xf>
    <xf numFmtId="0" fontId="26"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30" fillId="0" borderId="0" xfId="0" applyFont="1" applyAlignment="1">
      <alignment horizontal="left" wrapText="1"/>
    </xf>
    <xf numFmtId="0" fontId="26" fillId="0" borderId="0" xfId="0" applyFont="1" applyBorder="1" applyAlignment="1">
      <alignment horizontal="left" vertical="top" wrapText="1"/>
    </xf>
    <xf numFmtId="0" fontId="27"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left" vertical="center" wrapText="1"/>
    </xf>
    <xf numFmtId="0" fontId="26" fillId="0" borderId="0" xfId="0" applyFont="1" applyAlignment="1">
      <alignment wrapText="1"/>
    </xf>
    <xf numFmtId="0" fontId="27" fillId="0" borderId="1" xfId="0" applyFont="1" applyBorder="1" applyAlignment="1">
      <alignment horizontal="left" wrapText="1"/>
    </xf>
    <xf numFmtId="0" fontId="26" fillId="0" borderId="0" xfId="0" applyFont="1" applyAlignment="1">
      <alignment horizontal="center" wrapText="1"/>
    </xf>
    <xf numFmtId="0" fontId="26" fillId="0" borderId="5" xfId="0" applyFont="1" applyBorder="1" applyAlignment="1">
      <alignment horizontal="center"/>
    </xf>
    <xf numFmtId="0" fontId="26" fillId="0" borderId="4" xfId="0" applyFont="1" applyBorder="1" applyAlignment="1">
      <alignment horizontal="center"/>
    </xf>
    <xf numFmtId="0" fontId="26" fillId="0" borderId="3" xfId="0" applyFont="1" applyBorder="1" applyAlignment="1">
      <alignment horizontal="center"/>
    </xf>
    <xf numFmtId="0" fontId="26" fillId="0" borderId="9" xfId="0" applyFont="1" applyBorder="1" applyAlignment="1">
      <alignment horizontal="center"/>
    </xf>
    <xf numFmtId="0" fontId="26" fillId="0" borderId="8" xfId="0" applyFont="1" applyBorder="1" applyAlignment="1">
      <alignment horizontal="center"/>
    </xf>
    <xf numFmtId="0" fontId="5" fillId="0" borderId="0" xfId="65" applyFont="1" applyAlignment="1">
      <alignment horizontal="left" wrapText="1"/>
    </xf>
    <xf numFmtId="0" fontId="26" fillId="0" borderId="0" xfId="0" applyFont="1" applyFill="1" applyBorder="1" applyAlignment="1">
      <alignment horizontal="left" wrapText="1"/>
    </xf>
    <xf numFmtId="0" fontId="26" fillId="0" borderId="12" xfId="0" applyFont="1" applyBorder="1" applyAlignment="1">
      <alignment horizontal="center"/>
    </xf>
    <xf numFmtId="0" fontId="17" fillId="0" borderId="0" xfId="35" applyAlignment="1" applyProtection="1">
      <alignment horizontal="left" wrapText="1"/>
    </xf>
    <xf numFmtId="0" fontId="0" fillId="0" borderId="3" xfId="0" applyBorder="1"/>
    <xf numFmtId="0" fontId="0" fillId="0" borderId="4" xfId="0" applyBorder="1"/>
    <xf numFmtId="0" fontId="26" fillId="0" borderId="0" xfId="0" applyFont="1" applyAlignment="1">
      <alignment horizontal="left"/>
    </xf>
    <xf numFmtId="0" fontId="26" fillId="0" borderId="0" xfId="0" applyFont="1" applyBorder="1" applyAlignment="1">
      <alignment horizontal="center" wrapText="1"/>
    </xf>
    <xf numFmtId="0" fontId="3" fillId="0" borderId="0" xfId="0" applyFont="1" applyBorder="1" applyAlignment="1">
      <alignment horizontal="left" wrapText="1"/>
    </xf>
    <xf numFmtId="0" fontId="27" fillId="0" borderId="0" xfId="0" applyFont="1" applyBorder="1" applyAlignment="1">
      <alignment horizontal="center"/>
    </xf>
    <xf numFmtId="1" fontId="26" fillId="0" borderId="0" xfId="0" applyNumberFormat="1" applyFont="1" applyBorder="1" applyAlignment="1">
      <alignment horizontal="center"/>
    </xf>
    <xf numFmtId="0" fontId="27" fillId="0" borderId="0" xfId="0" applyFont="1" applyBorder="1" applyAlignment="1">
      <alignment horizontal="left" wrapText="1"/>
    </xf>
    <xf numFmtId="1" fontId="2" fillId="0" borderId="0" xfId="0" applyNumberFormat="1" applyFont="1" applyBorder="1" applyAlignment="1">
      <alignment horizontal="center" vertical="top" wrapText="1"/>
    </xf>
    <xf numFmtId="0" fontId="5" fillId="0" borderId="0" xfId="0" applyFont="1" applyBorder="1" applyAlignment="1">
      <alignment horizontal="center"/>
    </xf>
    <xf numFmtId="0" fontId="5" fillId="0" borderId="0" xfId="57" applyFont="1" applyBorder="1" applyAlignment="1">
      <alignment horizontal="center"/>
    </xf>
    <xf numFmtId="0" fontId="5" fillId="0" borderId="13" xfId="57" applyFont="1" applyBorder="1" applyAlignment="1">
      <alignment horizontal="center"/>
    </xf>
    <xf numFmtId="167" fontId="26" fillId="0" borderId="6" xfId="0" applyNumberFormat="1" applyFont="1" applyBorder="1" applyAlignment="1">
      <alignment horizontal="center"/>
    </xf>
    <xf numFmtId="0" fontId="27" fillId="0" borderId="3" xfId="0" applyFont="1" applyBorder="1" applyAlignment="1">
      <alignment horizontal="center" vertical="center"/>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3"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10" xfId="39"/>
    <cellStyle name="Normal 11" xfId="40"/>
    <cellStyle name="Normal 12" xfId="41"/>
    <cellStyle name="Normal 13" xfId="42"/>
    <cellStyle name="Normal 14" xfId="43"/>
    <cellStyle name="Normal 16" xfId="44"/>
    <cellStyle name="Normal 17" xfId="45"/>
    <cellStyle name="Normal 19" xfId="46"/>
    <cellStyle name="Normal 2" xfId="47"/>
    <cellStyle name="Normal 2 2" xfId="48"/>
    <cellStyle name="Normal 2 3" xfId="49"/>
    <cellStyle name="Normal 2 4" xfId="50"/>
    <cellStyle name="Normal 2 5" xfId="51"/>
    <cellStyle name="Normal 2 5 2" xfId="52"/>
    <cellStyle name="Normal 2 6" xfId="53"/>
    <cellStyle name="Normal 2 6 2" xfId="54"/>
    <cellStyle name="Normal 3" xfId="55"/>
    <cellStyle name="Normal 3 2" xfId="56"/>
    <cellStyle name="Normal 4" xfId="57"/>
    <cellStyle name="Normal 4 2" xfId="58"/>
    <cellStyle name="Normal 5" xfId="59"/>
    <cellStyle name="Normal 6" xfId="60"/>
    <cellStyle name="Normal 7" xfId="61"/>
    <cellStyle name="Normal 8" xfId="62"/>
    <cellStyle name="Normal 9" xfId="63"/>
    <cellStyle name="Normal_Book2" xfId="64"/>
    <cellStyle name="Normal_websitetables(apr2002 update for monitor)" xfId="65"/>
    <cellStyle name="Note" xfId="66" builtinId="10" customBuiltin="1"/>
    <cellStyle name="Output" xfId="67" builtinId="21" customBuiltin="1"/>
    <cellStyle name="Percent" xfId="71" builtinId="5"/>
    <cellStyle name="Title" xfId="68" builtinId="15" customBuiltin="1"/>
    <cellStyle name="Total" xfId="69" builtinId="25" customBuiltin="1"/>
    <cellStyle name="Warning Text" xfId="70" builtinId="11"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Pr>
        <a:bodyPr/>
        <a:lstStyle/>
        <a:p>
          <a:pPr>
            <a:defRPr sz="1800" b="1" i="0" u="none" strike="noStrike" baseline="0">
              <a:solidFill>
                <a:srgbClr val="000000"/>
              </a:solidFill>
              <a:latin typeface="Calibri"/>
              <a:ea typeface="Calibri"/>
              <a:cs typeface="Calibri"/>
            </a:defRPr>
          </a:pPr>
          <a:endParaRPr lang="en-US"/>
        </a:p>
      </c:txPr>
    </c:title>
    <c:plotArea>
      <c:layout/>
      <c:lineChart>
        <c:grouping val="standard"/>
        <c:ser>
          <c:idx val="0"/>
          <c:order val="0"/>
          <c:tx>
            <c:v>sfg</c:v>
          </c:tx>
          <c:marker>
            <c:symbol val="none"/>
          </c:marker>
          <c:cat>
            <c:numRef>
              <c:f>'3'!$A$69:$A$97</c:f>
              <c:numCache>
                <c:formatCode>General</c:formatCode>
                <c:ptCount val="13"/>
              </c:numCache>
            </c:numRef>
          </c:cat>
          <c:val>
            <c:numRef>
              <c:f>'3'!$B$69:$B$97</c:f>
              <c:numCache>
                <c:formatCode>General</c:formatCode>
                <c:ptCount val="13"/>
              </c:numCache>
            </c:numRef>
          </c:val>
        </c:ser>
        <c:marker val="1"/>
        <c:axId val="112528384"/>
        <c:axId val="115557120"/>
      </c:lineChart>
      <c:catAx>
        <c:axId val="1125283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557120"/>
        <c:crosses val="autoZero"/>
        <c:auto val="1"/>
        <c:lblAlgn val="ctr"/>
        <c:lblOffset val="100"/>
      </c:catAx>
      <c:valAx>
        <c:axId val="115557120"/>
        <c:scaling>
          <c:orientation val="minMax"/>
        </c:scaling>
        <c:axPos val="l"/>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52838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1504950</xdr:colOff>
      <xdr:row>97</xdr:row>
      <xdr:rowOff>19050</xdr:rowOff>
    </xdr:from>
    <xdr:to>
      <xdr:col>13</xdr:col>
      <xdr:colOff>742950</xdr:colOff>
      <xdr:row>111</xdr:row>
      <xdr:rowOff>95250</xdr:rowOff>
    </xdr:to>
    <xdr:graphicFrame macro="">
      <xdr:nvGraphicFramePr>
        <xdr:cNvPr id="226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tats.oecd.org/Index.aspx?datasetcode=SNA_TABLE4"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J35"/>
  <sheetViews>
    <sheetView tabSelected="1" view="pageBreakPreview" zoomScaleSheetLayoutView="100" workbookViewId="0">
      <selection activeCell="A12" sqref="A12:I12"/>
    </sheetView>
  </sheetViews>
  <sheetFormatPr defaultRowHeight="15"/>
  <cols>
    <col min="1" max="8" width="9.140625" style="15"/>
    <col min="9" max="9" width="15.85546875" style="15" customWidth="1"/>
    <col min="10" max="11" width="9.140625" style="15"/>
    <col min="12" max="12" width="13.28515625" style="15" customWidth="1"/>
    <col min="13" max="16384" width="9.140625" style="15"/>
  </cols>
  <sheetData>
    <row r="1" spans="1:9" ht="17.25" customHeight="1">
      <c r="A1" s="177" t="s">
        <v>242</v>
      </c>
      <c r="B1" s="177"/>
      <c r="C1" s="177"/>
      <c r="D1" s="177"/>
      <c r="E1" s="177"/>
      <c r="F1" s="177"/>
      <c r="G1" s="177"/>
      <c r="H1" s="177"/>
      <c r="I1" s="177"/>
    </row>
    <row r="2" spans="1:9">
      <c r="A2" s="44"/>
      <c r="B2" s="1"/>
      <c r="C2" s="1"/>
      <c r="D2" s="1"/>
      <c r="E2" s="1"/>
      <c r="F2" s="1"/>
      <c r="G2" s="1"/>
      <c r="H2" s="1"/>
      <c r="I2" s="1"/>
    </row>
    <row r="3" spans="1:9">
      <c r="A3" s="44" t="s">
        <v>116</v>
      </c>
      <c r="B3" s="1"/>
      <c r="C3" s="1"/>
      <c r="D3" s="1"/>
      <c r="E3" s="1"/>
      <c r="F3" s="1"/>
      <c r="G3" s="1"/>
      <c r="H3" s="1"/>
      <c r="I3" s="1"/>
    </row>
    <row r="4" spans="1:9" ht="16.5" customHeight="1">
      <c r="A4" s="175" t="str">
        <f>'1 '!A1</f>
        <v>Table 1a: Government and Business Investment and Investment Deflator, United States, 1969-2017</v>
      </c>
      <c r="B4" s="175"/>
      <c r="C4" s="175"/>
      <c r="D4" s="175"/>
      <c r="E4" s="175"/>
      <c r="F4" s="175"/>
      <c r="G4" s="175"/>
      <c r="H4" s="175"/>
      <c r="I4" s="175"/>
    </row>
    <row r="5" spans="1:9" s="42" customFormat="1" ht="16.5" customHeight="1">
      <c r="A5" s="175" t="str">
        <f>'1 '!K1</f>
        <v>Table 1b: Government and Business Investment and Investment Deflator, Canada, 1981-2018</v>
      </c>
      <c r="B5" s="175"/>
      <c r="C5" s="175"/>
      <c r="D5" s="175"/>
      <c r="E5" s="175"/>
      <c r="F5" s="175"/>
      <c r="G5" s="175"/>
      <c r="H5" s="175"/>
      <c r="I5" s="175"/>
    </row>
    <row r="6" spans="1:9" ht="17.25" customHeight="1">
      <c r="A6" s="175" t="str">
        <f>'2'!A1:C1</f>
        <v>Table 2a: Consumption of Fixed Capital by Business and Government, United States, 1969-2018</v>
      </c>
      <c r="B6" s="175"/>
      <c r="C6" s="175"/>
      <c r="D6" s="175"/>
      <c r="E6" s="175"/>
      <c r="F6" s="175"/>
      <c r="G6" s="175"/>
      <c r="H6" s="175"/>
      <c r="I6" s="175"/>
    </row>
    <row r="7" spans="1:9" ht="16.5" customHeight="1">
      <c r="A7" s="175" t="str">
        <f>'2'!E1</f>
        <v>Table 2b: Consumption of Fixed Capital by Business and Government, Canada, 1981-2018</v>
      </c>
      <c r="B7" s="175"/>
      <c r="C7" s="175"/>
      <c r="D7" s="175"/>
      <c r="E7" s="175"/>
      <c r="F7" s="175"/>
      <c r="G7" s="175"/>
      <c r="H7" s="175"/>
      <c r="I7" s="175"/>
    </row>
    <row r="8" spans="1:9" ht="15.75" customHeight="1">
      <c r="A8" s="175" t="str">
        <f>'3'!A1</f>
        <v>Table 3a: Net Investment Income from Non-Residents, United States, 1969-2018</v>
      </c>
      <c r="B8" s="175"/>
      <c r="C8" s="175"/>
      <c r="D8" s="175"/>
      <c r="E8" s="175"/>
      <c r="F8" s="175"/>
      <c r="G8" s="175"/>
      <c r="H8" s="175"/>
      <c r="I8" s="175"/>
    </row>
    <row r="9" spans="1:9">
      <c r="A9" s="175" t="str">
        <f>'3'!I1</f>
        <v>Table 3b: Net Investment Income from Non-Residents, Canada, 1981-2015</v>
      </c>
      <c r="B9" s="175"/>
      <c r="C9" s="175"/>
      <c r="D9" s="175"/>
      <c r="E9" s="175"/>
      <c r="F9" s="175"/>
      <c r="G9" s="175"/>
      <c r="H9" s="175"/>
      <c r="I9" s="175"/>
    </row>
    <row r="10" spans="1:9">
      <c r="A10" s="175" t="str">
        <f>'4'!A1:I1</f>
        <v>Table 4a: Export and Import Volumes and Price Indexes, United States, 1969-2018</v>
      </c>
      <c r="B10" s="175"/>
      <c r="C10" s="175"/>
      <c r="D10" s="175"/>
      <c r="E10" s="175"/>
      <c r="F10" s="175"/>
      <c r="G10" s="175"/>
      <c r="H10" s="175"/>
      <c r="I10" s="175"/>
    </row>
    <row r="11" spans="1:9">
      <c r="A11" s="175" t="str">
        <f>'4'!K1</f>
        <v>Table 4b: Export and Import Volumes and Price Indexes, Canada, 1981-2018</v>
      </c>
      <c r="B11" s="175"/>
      <c r="C11" s="175"/>
      <c r="D11" s="175"/>
      <c r="E11" s="175"/>
      <c r="F11" s="175"/>
      <c r="G11" s="175"/>
      <c r="H11" s="175"/>
      <c r="I11" s="175"/>
    </row>
    <row r="12" spans="1:9">
      <c r="A12" s="175" t="str">
        <f>'5'!A1</f>
        <v>Table 5a: Output and Income Measures, Billions of Current Dollars, United States, 1969-2018</v>
      </c>
      <c r="B12" s="175"/>
      <c r="C12" s="175"/>
      <c r="D12" s="175"/>
      <c r="E12" s="175"/>
      <c r="F12" s="175"/>
      <c r="G12" s="175"/>
      <c r="H12" s="175"/>
      <c r="I12" s="175"/>
    </row>
    <row r="13" spans="1:9" ht="15" customHeight="1">
      <c r="A13" s="175" t="str">
        <f>'5'!K1</f>
        <v>Table 5b: Output and Income Measures, Billions of Current Dollars, Canada, 1981-2018</v>
      </c>
      <c r="B13" s="175"/>
      <c r="C13" s="175"/>
      <c r="D13" s="175"/>
      <c r="E13" s="175"/>
      <c r="F13" s="175"/>
      <c r="G13" s="175"/>
      <c r="H13" s="175"/>
      <c r="I13" s="175"/>
    </row>
    <row r="14" spans="1:9" ht="12.75" customHeight="1">
      <c r="A14" s="175" t="str">
        <f>'6'!A1</f>
        <v>Table 6a: Output and Income Measures, Billions of Chained 2012 Dollars, United States, 1969-2018</v>
      </c>
      <c r="B14" s="175"/>
      <c r="C14" s="175"/>
      <c r="D14" s="175"/>
      <c r="E14" s="175"/>
      <c r="F14" s="175"/>
      <c r="G14" s="175"/>
      <c r="H14" s="175"/>
      <c r="I14" s="175"/>
    </row>
    <row r="15" spans="1:9" ht="24.75" customHeight="1">
      <c r="A15" s="175" t="str">
        <f>'6'!K1</f>
        <v>Table 6b: Output and Income Measures, Billions of Chained 2012 Dollars, Canada, 1981-2018</v>
      </c>
      <c r="B15" s="175"/>
      <c r="C15" s="175"/>
      <c r="D15" s="175"/>
      <c r="E15" s="175"/>
      <c r="F15" s="175"/>
      <c r="G15" s="175"/>
      <c r="H15" s="175"/>
      <c r="I15" s="175"/>
    </row>
    <row r="16" spans="1:9" s="42" customFormat="1" ht="27" customHeight="1">
      <c r="A16" s="175" t="str">
        <f>'7'!A1</f>
        <v>Table 7: Comparison of Income and Output Measures for Canada and the United States, Billions, 2018</v>
      </c>
      <c r="B16" s="175"/>
      <c r="C16" s="175"/>
      <c r="D16" s="175"/>
      <c r="E16" s="175"/>
      <c r="F16" s="175"/>
      <c r="G16" s="175"/>
      <c r="H16" s="175"/>
      <c r="I16" s="175"/>
    </row>
    <row r="17" spans="1:10" s="42" customFormat="1" ht="30" customHeight="1">
      <c r="A17" s="175" t="str">
        <f>'8a'!A1:E1</f>
        <v>Table 8a: Growth of Income and Output Measures for Canada and the United States, Average Annual Growth Rate, per cent, 2000-2018</v>
      </c>
      <c r="B17" s="175"/>
      <c r="C17" s="175"/>
      <c r="D17" s="175"/>
      <c r="E17" s="175"/>
      <c r="F17" s="175"/>
      <c r="G17" s="175"/>
      <c r="H17" s="175"/>
      <c r="I17" s="175"/>
    </row>
    <row r="18" spans="1:10" s="42" customFormat="1" ht="24.75" customHeight="1">
      <c r="A18" s="175" t="str">
        <f>'8b'!A1:E1</f>
        <v>Table 8b: Growth of Income and Output measures for Canada and the United States, Average Annual Growth Rate, per cent, 1981-2018</v>
      </c>
      <c r="B18" s="175"/>
      <c r="C18" s="175"/>
      <c r="D18" s="175"/>
      <c r="E18" s="175"/>
      <c r="F18" s="175"/>
      <c r="G18" s="175"/>
      <c r="H18" s="175"/>
      <c r="I18" s="175"/>
    </row>
    <row r="19" spans="1:10" ht="15.75" customHeight="1">
      <c r="A19" s="175" t="str">
        <f>'9'!A1</f>
        <v>Table 9a: Output and Income Per Capita Measures, Current Dollars, United States, 1969-2018</v>
      </c>
      <c r="B19" s="175"/>
      <c r="C19" s="175"/>
      <c r="D19" s="175"/>
      <c r="E19" s="175"/>
      <c r="F19" s="175"/>
      <c r="G19" s="175"/>
      <c r="H19" s="175"/>
      <c r="I19" s="175"/>
    </row>
    <row r="20" spans="1:10" ht="16.5" customHeight="1">
      <c r="A20" s="175" t="str">
        <f>'9'!L1</f>
        <v>Table 9b: Output and Income Per Capita Measures, Current Dollars, Canada, 1981-2018</v>
      </c>
      <c r="B20" s="175"/>
      <c r="C20" s="175"/>
      <c r="D20" s="175"/>
      <c r="E20" s="175"/>
      <c r="F20" s="175"/>
      <c r="G20" s="175"/>
      <c r="H20" s="175"/>
      <c r="I20" s="175"/>
    </row>
    <row r="21" spans="1:10" ht="15.75" customHeight="1">
      <c r="A21" s="176" t="str">
        <f>'10'!A1</f>
        <v>Table 10a: Output and Income Measures Per Capita, Chained 2012 Dollars, United States, 1969-2018</v>
      </c>
      <c r="B21" s="176"/>
      <c r="C21" s="176"/>
      <c r="D21" s="176"/>
      <c r="E21" s="176"/>
      <c r="F21" s="176"/>
      <c r="G21" s="176"/>
      <c r="H21" s="176"/>
      <c r="I21" s="176"/>
    </row>
    <row r="22" spans="1:10">
      <c r="A22" s="176" t="str">
        <f>'10'!L1</f>
        <v>Table 10b: Output and Income Measures Per Capita, Chained 2012 Dollars, Canada, 1981-2018</v>
      </c>
      <c r="B22" s="176"/>
      <c r="C22" s="176"/>
      <c r="D22" s="176"/>
      <c r="E22" s="176"/>
      <c r="F22" s="176"/>
      <c r="G22" s="176"/>
      <c r="H22" s="176"/>
      <c r="I22" s="176"/>
    </row>
    <row r="23" spans="1:10" s="42" customFormat="1" ht="29.25" customHeight="1">
      <c r="A23" s="175" t="str">
        <f>'11'!A1:E1</f>
        <v>Table 11: Comparison of Income and Output Measures Per Capita for Canada and the United States, 2018</v>
      </c>
      <c r="B23" s="175"/>
      <c r="C23" s="175"/>
      <c r="D23" s="175"/>
      <c r="E23" s="175"/>
      <c r="F23" s="175"/>
      <c r="G23" s="175"/>
      <c r="H23" s="175"/>
      <c r="I23" s="175"/>
    </row>
    <row r="24" spans="1:10" s="42" customFormat="1" ht="30" customHeight="1">
      <c r="A24" s="175" t="str">
        <f>'12a'!A1:E1</f>
        <v>Table 12a: Growth of Income and Output Measures Per Capita for Canada and the US, Average Annual Growth, per cent, 2000-2018</v>
      </c>
      <c r="B24" s="175"/>
      <c r="C24" s="175"/>
      <c r="D24" s="175"/>
      <c r="E24" s="175"/>
      <c r="F24" s="175"/>
      <c r="G24" s="175"/>
      <c r="H24" s="175"/>
      <c r="I24" s="175"/>
    </row>
    <row r="25" spans="1:10" s="42" customFormat="1" ht="30" customHeight="1">
      <c r="A25" s="175" t="str">
        <f>'12b'!A1:E1</f>
        <v>Table 12b: Growth of Income and Output Measures Per Capita for Canada and the US, Average Annual Growth, per cent, 1981-2018</v>
      </c>
      <c r="B25" s="175"/>
      <c r="C25" s="175"/>
      <c r="D25" s="175"/>
      <c r="E25" s="175"/>
      <c r="F25" s="175"/>
      <c r="G25" s="175"/>
      <c r="H25" s="175"/>
      <c r="I25" s="175"/>
    </row>
    <row r="26" spans="1:10" ht="15" customHeight="1">
      <c r="A26" s="176" t="str">
        <f>'13'!A1</f>
        <v>Table 13: Purchasing Power Parity, Canada, 1961-2018</v>
      </c>
      <c r="B26" s="176"/>
      <c r="C26" s="176"/>
      <c r="D26" s="176"/>
      <c r="E26" s="176"/>
      <c r="F26" s="176"/>
      <c r="G26" s="176"/>
      <c r="H26" s="176"/>
      <c r="I26" s="176"/>
    </row>
    <row r="27" spans="1:10" ht="27.75" customHeight="1">
      <c r="A27" s="175" t="str">
        <f>'14'!A1</f>
        <v>Table 14: Nominal Canadian Income and Output Measures Per Capita in Current US Dollars at PPP, 1981-2018</v>
      </c>
      <c r="B27" s="175"/>
      <c r="C27" s="175"/>
      <c r="D27" s="175"/>
      <c r="E27" s="175"/>
      <c r="F27" s="175"/>
      <c r="G27" s="175"/>
      <c r="H27" s="175"/>
      <c r="I27" s="175"/>
      <c r="J27" s="42"/>
    </row>
    <row r="28" spans="1:10" ht="25.5" customHeight="1">
      <c r="A28" s="175" t="str">
        <f>'15'!A1:I1</f>
        <v>Table 15: Nominal Canadian Income and Output Measures Per Capita as a Proportion of United States Levels, Per Cent, 1981-2018</v>
      </c>
      <c r="B28" s="175"/>
      <c r="C28" s="175"/>
      <c r="D28" s="175"/>
      <c r="E28" s="175"/>
      <c r="F28" s="175"/>
      <c r="G28" s="175"/>
      <c r="H28" s="175"/>
      <c r="I28" s="175"/>
    </row>
    <row r="29" spans="1:10" ht="25.5" customHeight="1">
      <c r="A29" s="175" t="str">
        <f>'16'!A1</f>
        <v>Table 16: Real Canadian Income and Output Measures Per Capita in 2012 US Dollars at PPP, 1981-2018</v>
      </c>
      <c r="B29" s="175"/>
      <c r="C29" s="175"/>
      <c r="D29" s="175"/>
      <c r="E29" s="175"/>
      <c r="F29" s="175"/>
      <c r="G29" s="175"/>
      <c r="H29" s="175"/>
      <c r="I29" s="175"/>
    </row>
    <row r="30" spans="1:10" ht="26.25" customHeight="1">
      <c r="A30" s="175" t="str">
        <f>'17'!A1:I1</f>
        <v>Table 17: Real Canadian Income and Output Measures Per Capita as a Proportion of United States Levels, Per Cent, 1981-2018</v>
      </c>
      <c r="B30" s="175"/>
      <c r="C30" s="175"/>
      <c r="D30" s="175"/>
      <c r="E30" s="175"/>
      <c r="F30" s="175"/>
      <c r="G30" s="175"/>
      <c r="H30" s="175"/>
      <c r="I30" s="175"/>
    </row>
    <row r="32" spans="1:10" ht="15" customHeight="1">
      <c r="A32" s="174" t="s">
        <v>158</v>
      </c>
      <c r="B32" s="174"/>
      <c r="C32" s="174"/>
      <c r="D32" s="174"/>
      <c r="E32" s="174"/>
      <c r="F32" s="174"/>
      <c r="G32" s="174"/>
      <c r="H32" s="174"/>
      <c r="I32" s="174"/>
    </row>
    <row r="33" spans="1:9">
      <c r="A33" s="174"/>
      <c r="B33" s="174"/>
      <c r="C33" s="174"/>
      <c r="D33" s="174"/>
      <c r="E33" s="174"/>
      <c r="F33" s="174"/>
      <c r="G33" s="174"/>
      <c r="H33" s="174"/>
      <c r="I33" s="174"/>
    </row>
    <row r="34" spans="1:9">
      <c r="A34" s="174"/>
      <c r="B34" s="174"/>
      <c r="C34" s="174"/>
      <c r="D34" s="174"/>
      <c r="E34" s="174"/>
      <c r="F34" s="174"/>
      <c r="G34" s="174"/>
      <c r="H34" s="174"/>
      <c r="I34" s="174"/>
    </row>
    <row r="35" spans="1:9">
      <c r="A35" s="174"/>
      <c r="B35" s="174"/>
      <c r="C35" s="174"/>
      <c r="D35" s="174"/>
      <c r="E35" s="174"/>
      <c r="F35" s="174"/>
      <c r="G35" s="174"/>
      <c r="H35" s="174"/>
      <c r="I35" s="174"/>
    </row>
  </sheetData>
  <mergeCells count="29">
    <mergeCell ref="A6:I6"/>
    <mergeCell ref="A5:I5"/>
    <mergeCell ref="A4:I4"/>
    <mergeCell ref="A11:I11"/>
    <mergeCell ref="A10:I10"/>
    <mergeCell ref="A9:I9"/>
    <mergeCell ref="A8:I8"/>
    <mergeCell ref="A7:I7"/>
    <mergeCell ref="A1:I1"/>
    <mergeCell ref="A14:I14"/>
    <mergeCell ref="A29:I29"/>
    <mergeCell ref="A28:I28"/>
    <mergeCell ref="A27:I27"/>
    <mergeCell ref="A26:I26"/>
    <mergeCell ref="A25:I25"/>
    <mergeCell ref="A24:I24"/>
    <mergeCell ref="A23:I23"/>
    <mergeCell ref="A19:I19"/>
    <mergeCell ref="A18:I18"/>
    <mergeCell ref="A17:I17"/>
    <mergeCell ref="A16:I16"/>
    <mergeCell ref="A15:I15"/>
    <mergeCell ref="A13:I13"/>
    <mergeCell ref="A12:I12"/>
    <mergeCell ref="A32:I35"/>
    <mergeCell ref="A30:I30"/>
    <mergeCell ref="A22:I22"/>
    <mergeCell ref="A21:I21"/>
    <mergeCell ref="A20:I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G51"/>
  <sheetViews>
    <sheetView view="pageBreakPreview" zoomScaleSheetLayoutView="100" workbookViewId="0">
      <selection activeCell="B21" sqref="B21:E21"/>
    </sheetView>
  </sheetViews>
  <sheetFormatPr defaultRowHeight="15"/>
  <cols>
    <col min="1" max="1" width="24.28515625" style="42" customWidth="1"/>
    <col min="2" max="5" width="15.42578125" style="42" customWidth="1"/>
    <col min="6" max="6" width="9.140625" style="42"/>
    <col min="7" max="7" width="9.28515625" style="42" customWidth="1"/>
    <col min="8" max="16384" width="9.140625" style="42"/>
  </cols>
  <sheetData>
    <row r="1" spans="1:7" ht="28.5" customHeight="1">
      <c r="A1" s="181" t="s">
        <v>226</v>
      </c>
      <c r="B1" s="181"/>
      <c r="C1" s="181"/>
      <c r="D1" s="181"/>
      <c r="E1" s="181"/>
    </row>
    <row r="3" spans="1:7" ht="30" customHeight="1">
      <c r="A3" s="181" t="s">
        <v>128</v>
      </c>
      <c r="B3" s="181"/>
      <c r="C3" s="181"/>
      <c r="D3" s="181"/>
      <c r="E3" s="181"/>
      <c r="F3" s="38"/>
      <c r="G3" s="38"/>
    </row>
    <row r="4" spans="1:7">
      <c r="B4" s="186" t="s">
        <v>13</v>
      </c>
      <c r="C4" s="187"/>
      <c r="D4" s="186" t="s">
        <v>14</v>
      </c>
      <c r="E4" s="187"/>
    </row>
    <row r="5" spans="1:7">
      <c r="B5" s="173" t="s">
        <v>224</v>
      </c>
      <c r="C5" s="173" t="s">
        <v>15</v>
      </c>
      <c r="D5" s="66" t="s">
        <v>224</v>
      </c>
      <c r="E5" s="173" t="s">
        <v>15</v>
      </c>
    </row>
    <row r="6" spans="1:7">
      <c r="A6" s="66" t="s">
        <v>0</v>
      </c>
      <c r="B6" s="156">
        <f>'6'!$B$62</f>
        <v>2.6990041820100563</v>
      </c>
      <c r="C6" s="91">
        <f>'5'!B62</f>
        <v>5.1407518139664932</v>
      </c>
      <c r="D6" s="156">
        <f>'6'!$L52</f>
        <v>2.344928179144623</v>
      </c>
      <c r="E6" s="91">
        <f>'5'!L51</f>
        <v>4.9732034215641985</v>
      </c>
    </row>
    <row r="7" spans="1:7">
      <c r="A7" s="67" t="s">
        <v>2</v>
      </c>
      <c r="B7" s="157">
        <f>'6'!$C$62</f>
        <v>2.738634835831677</v>
      </c>
      <c r="C7" s="94">
        <f>'5'!C62</f>
        <v>5.1812377582233005</v>
      </c>
      <c r="D7" s="157">
        <f>'6'!$M52</f>
        <v>2.3758247428249613</v>
      </c>
      <c r="E7" s="94">
        <f>'5'!M51</f>
        <v>4.9732034215641985</v>
      </c>
    </row>
    <row r="8" spans="1:7">
      <c r="A8" s="67" t="s">
        <v>143</v>
      </c>
      <c r="B8" s="157">
        <f>B6-B7</f>
        <v>-3.9630653821620676E-2</v>
      </c>
      <c r="C8" s="94">
        <f>C6-C7</f>
        <v>-4.0485944256807294E-2</v>
      </c>
      <c r="D8" s="157">
        <f>D6-D7</f>
        <v>-3.0896563680338218E-2</v>
      </c>
      <c r="E8" s="94">
        <f>E6-E7</f>
        <v>0</v>
      </c>
    </row>
    <row r="9" spans="1:7">
      <c r="A9" s="67" t="s">
        <v>6</v>
      </c>
      <c r="B9" s="157">
        <f>'6'!$D$62</f>
        <v>2.7040024403247598</v>
      </c>
      <c r="C9" s="94">
        <f>'5'!D62</f>
        <v>5.1476766200386992</v>
      </c>
      <c r="D9" s="157">
        <f>'6'!$N52</f>
        <v>2.4030736574785383</v>
      </c>
      <c r="E9" s="94">
        <f>'5'!N51</f>
        <v>5.0328421084418373</v>
      </c>
    </row>
    <row r="10" spans="1:7">
      <c r="A10" s="67" t="s">
        <v>3</v>
      </c>
      <c r="B10" s="157">
        <f>'6'!$E$62</f>
        <v>2.7432063032134968</v>
      </c>
      <c r="C10" s="94">
        <f>'5'!E62</f>
        <v>5.1878236845919412</v>
      </c>
      <c r="D10" s="157">
        <f>'6'!$O52</f>
        <v>2.4339877745003458</v>
      </c>
      <c r="E10" s="94">
        <f>'5'!O51</f>
        <v>5.0328421084418373</v>
      </c>
    </row>
    <row r="11" spans="1:7">
      <c r="A11" s="67" t="s">
        <v>143</v>
      </c>
      <c r="B11" s="157">
        <f>B9-B10</f>
        <v>-3.9203862888737007E-2</v>
      </c>
      <c r="C11" s="94">
        <f>C9-C10</f>
        <v>-4.0147064553242018E-2</v>
      </c>
      <c r="D11" s="157">
        <f>D9-D10</f>
        <v>-3.0914117021807463E-2</v>
      </c>
      <c r="E11" s="94">
        <f>E9-E10</f>
        <v>0</v>
      </c>
    </row>
    <row r="12" spans="1:7">
      <c r="A12" s="67" t="s">
        <v>4</v>
      </c>
      <c r="B12" s="157">
        <f>'6'!$F$62</f>
        <v>2.5183581330243232</v>
      </c>
      <c r="C12" s="94">
        <f>'5'!F62</f>
        <v>5.1143950415301953</v>
      </c>
      <c r="D12" s="157">
        <f>'6'!$P52</f>
        <v>2.9681334981124241</v>
      </c>
      <c r="E12" s="94">
        <f>'5'!P51</f>
        <v>5.1298159675575272</v>
      </c>
    </row>
    <row r="13" spans="1:7">
      <c r="A13" s="67" t="s">
        <v>5</v>
      </c>
      <c r="B13" s="157">
        <f>'6'!$G$62</f>
        <v>2.5651305075507613</v>
      </c>
      <c r="C13" s="94">
        <f>'5'!G62</f>
        <v>5.1623591421060544</v>
      </c>
      <c r="D13" s="157">
        <f>'6'!$Q52</f>
        <v>2.3467139024796024</v>
      </c>
      <c r="E13" s="94">
        <f>'5'!Q51</f>
        <v>4.9433540096251782</v>
      </c>
    </row>
    <row r="14" spans="1:7">
      <c r="A14" s="67" t="s">
        <v>143</v>
      </c>
      <c r="B14" s="157">
        <f>B12-B13</f>
        <v>-4.6772374526438121E-2</v>
      </c>
      <c r="C14" s="94">
        <f>C12-C13</f>
        <v>-4.7964100575859092E-2</v>
      </c>
      <c r="D14" s="157">
        <f>D12-D13</f>
        <v>0.62141959563282168</v>
      </c>
      <c r="E14" s="94">
        <f>E12-E13</f>
        <v>0.18646195793234899</v>
      </c>
    </row>
    <row r="15" spans="1:7">
      <c r="A15" s="67" t="s">
        <v>1</v>
      </c>
      <c r="B15" s="157">
        <f>'6'!$H$62</f>
        <v>2.5259239087870977</v>
      </c>
      <c r="C15" s="94">
        <f>'5'!H62</f>
        <v>5.1230371804140473</v>
      </c>
      <c r="D15" s="157">
        <f>'6'!$R52</f>
        <v>2.9676182113191896</v>
      </c>
      <c r="E15" s="94">
        <f>'5'!R51</f>
        <v>5.1294287156981477</v>
      </c>
    </row>
    <row r="16" spans="1:7">
      <c r="A16" s="67" t="s">
        <v>7</v>
      </c>
      <c r="B16" s="157">
        <f>'6'!$I$62</f>
        <v>2.7268790894126038</v>
      </c>
      <c r="C16" s="94">
        <f>'5'!I62</f>
        <v>5.1428800185520984</v>
      </c>
      <c r="D16" s="157">
        <f>'6'!$S52</f>
        <v>2.415517707201098</v>
      </c>
      <c r="E16" s="94">
        <f>'5'!S51</f>
        <v>5.0139034367712165</v>
      </c>
    </row>
    <row r="17" spans="1:5">
      <c r="A17" s="68" t="s">
        <v>143</v>
      </c>
      <c r="B17" s="158">
        <f>B15-B16</f>
        <v>-0.2009551806255061</v>
      </c>
      <c r="C17" s="97">
        <f>C15-C16</f>
        <v>-1.98428381380511E-2</v>
      </c>
      <c r="D17" s="158">
        <f>D15-D16</f>
        <v>0.55210050411809153</v>
      </c>
      <c r="E17" s="97">
        <f>E15-E16</f>
        <v>0.11552527892693121</v>
      </c>
    </row>
    <row r="18" spans="1:5">
      <c r="A18" s="9"/>
      <c r="B18" s="41"/>
      <c r="C18" s="41"/>
      <c r="D18" s="41"/>
      <c r="E18" s="41"/>
    </row>
    <row r="19" spans="1:5" ht="30" customHeight="1">
      <c r="A19" s="127" t="s">
        <v>129</v>
      </c>
      <c r="B19" s="127"/>
      <c r="C19" s="127"/>
      <c r="D19" s="127"/>
      <c r="E19" s="127"/>
    </row>
    <row r="20" spans="1:5">
      <c r="B20" s="186" t="s">
        <v>13</v>
      </c>
      <c r="C20" s="187"/>
      <c r="D20" s="186" t="s">
        <v>14</v>
      </c>
      <c r="E20" s="187"/>
    </row>
    <row r="21" spans="1:5">
      <c r="B21" s="173" t="s">
        <v>224</v>
      </c>
      <c r="C21" s="173" t="s">
        <v>15</v>
      </c>
      <c r="D21" s="66" t="s">
        <v>224</v>
      </c>
      <c r="E21" s="173" t="s">
        <v>15</v>
      </c>
    </row>
    <row r="22" spans="1:5">
      <c r="A22" s="66" t="str">
        <f>A9</f>
        <v>Gross national product</v>
      </c>
      <c r="B22" s="156">
        <f>B9</f>
        <v>2.7040024403247598</v>
      </c>
      <c r="C22" s="90">
        <f>C9</f>
        <v>5.1476766200386992</v>
      </c>
      <c r="D22" s="156">
        <f>D9</f>
        <v>2.4030736574785383</v>
      </c>
      <c r="E22" s="91">
        <f>E9</f>
        <v>5.0328421084418373</v>
      </c>
    </row>
    <row r="23" spans="1:5">
      <c r="A23" s="67" t="str">
        <f>A6</f>
        <v>Gross domestic product</v>
      </c>
      <c r="B23" s="157">
        <f>B6</f>
        <v>2.6990041820100563</v>
      </c>
      <c r="C23" s="93">
        <f>C6</f>
        <v>5.1407518139664932</v>
      </c>
      <c r="D23" s="157">
        <f>D6</f>
        <v>2.344928179144623</v>
      </c>
      <c r="E23" s="94">
        <f>E6</f>
        <v>4.9732034215641985</v>
      </c>
    </row>
    <row r="24" spans="1:5">
      <c r="A24" s="67" t="s">
        <v>143</v>
      </c>
      <c r="B24" s="157">
        <f>B22-B23</f>
        <v>4.9982583147034632E-3</v>
      </c>
      <c r="C24" s="93">
        <f>C22-C23</f>
        <v>6.9248060722060245E-3</v>
      </c>
      <c r="D24" s="157">
        <f>D22-D23</f>
        <v>5.8145478333915257E-2</v>
      </c>
      <c r="E24" s="94">
        <f>E22-E23</f>
        <v>5.9638686877638847E-2</v>
      </c>
    </row>
    <row r="25" spans="1:5">
      <c r="A25" s="67" t="str">
        <f>A10</f>
        <v>Gross national income</v>
      </c>
      <c r="B25" s="157">
        <f>B10</f>
        <v>2.7432063032134968</v>
      </c>
      <c r="C25" s="93">
        <f>C10</f>
        <v>5.1878236845919412</v>
      </c>
      <c r="D25" s="157">
        <f>D10</f>
        <v>2.4339877745003458</v>
      </c>
      <c r="E25" s="94">
        <f>E10</f>
        <v>5.0328421084418373</v>
      </c>
    </row>
    <row r="26" spans="1:5">
      <c r="A26" s="67" t="str">
        <f>A7</f>
        <v>Gross domestic income</v>
      </c>
      <c r="B26" s="157">
        <f>B7</f>
        <v>2.738634835831677</v>
      </c>
      <c r="C26" s="93">
        <f>C7</f>
        <v>5.1812377582233005</v>
      </c>
      <c r="D26" s="157">
        <f>D7</f>
        <v>2.3758247428249613</v>
      </c>
      <c r="E26" s="94">
        <f>E7</f>
        <v>4.9732034215641985</v>
      </c>
    </row>
    <row r="27" spans="1:5">
      <c r="A27" s="67" t="s">
        <v>143</v>
      </c>
      <c r="B27" s="157">
        <f>B25-B26</f>
        <v>4.5714673818197937E-3</v>
      </c>
      <c r="C27" s="93">
        <f>C25-C26</f>
        <v>6.5859263686407488E-3</v>
      </c>
      <c r="D27" s="157">
        <f>D25-D26</f>
        <v>5.8163031675384502E-2</v>
      </c>
      <c r="E27" s="94">
        <f>E25-E26</f>
        <v>5.9638686877638847E-2</v>
      </c>
    </row>
    <row r="28" spans="1:5">
      <c r="A28" s="67" t="str">
        <f>A15</f>
        <v>Net national product</v>
      </c>
      <c r="B28" s="157">
        <f>B15</f>
        <v>2.5259239087870977</v>
      </c>
      <c r="C28" s="93">
        <f>C15</f>
        <v>5.1230371804140473</v>
      </c>
      <c r="D28" s="157">
        <f>D15</f>
        <v>2.9676182113191896</v>
      </c>
      <c r="E28" s="94">
        <f>E15</f>
        <v>5.1294287156981477</v>
      </c>
    </row>
    <row r="29" spans="1:5">
      <c r="A29" s="67" t="str">
        <f>A12</f>
        <v>Net domestic product</v>
      </c>
      <c r="B29" s="157">
        <f>B12</f>
        <v>2.5183581330243232</v>
      </c>
      <c r="C29" s="93">
        <f>C12</f>
        <v>5.1143950415301953</v>
      </c>
      <c r="D29" s="157">
        <f>D12</f>
        <v>2.9681334981124241</v>
      </c>
      <c r="E29" s="94">
        <f>E12</f>
        <v>5.1298159675575272</v>
      </c>
    </row>
    <row r="30" spans="1:5">
      <c r="A30" s="67" t="s">
        <v>143</v>
      </c>
      <c r="B30" s="157">
        <f>B28-B29</f>
        <v>7.565775762774507E-3</v>
      </c>
      <c r="C30" s="93">
        <f>C28-C29</f>
        <v>8.642138883852013E-3</v>
      </c>
      <c r="D30" s="157">
        <f>D28-D29</f>
        <v>-5.152867932345373E-4</v>
      </c>
      <c r="E30" s="94">
        <f>E28-E29</f>
        <v>-3.8725185937948936E-4</v>
      </c>
    </row>
    <row r="31" spans="1:5">
      <c r="A31" s="67" t="str">
        <f>A16</f>
        <v>Net national income</v>
      </c>
      <c r="B31" s="157">
        <f>B16</f>
        <v>2.7268790894126038</v>
      </c>
      <c r="C31" s="93">
        <f>C16</f>
        <v>5.1428800185520984</v>
      </c>
      <c r="D31" s="157">
        <f>D16</f>
        <v>2.415517707201098</v>
      </c>
      <c r="E31" s="94">
        <f>E16</f>
        <v>5.0139034367712165</v>
      </c>
    </row>
    <row r="32" spans="1:5">
      <c r="A32" s="67" t="str">
        <f>A13</f>
        <v>Net domestic income</v>
      </c>
      <c r="B32" s="157">
        <f>B13</f>
        <v>2.5651305075507613</v>
      </c>
      <c r="C32" s="93">
        <f>C13</f>
        <v>5.1623591421060544</v>
      </c>
      <c r="D32" s="157">
        <f>D13</f>
        <v>2.3467139024796024</v>
      </c>
      <c r="E32" s="94">
        <f>E13</f>
        <v>4.9433540096251782</v>
      </c>
    </row>
    <row r="33" spans="1:5">
      <c r="A33" s="68" t="s">
        <v>143</v>
      </c>
      <c r="B33" s="158">
        <f>B31-B32</f>
        <v>0.16174858186184249</v>
      </c>
      <c r="C33" s="96">
        <f>C31-C32</f>
        <v>-1.9479123553955979E-2</v>
      </c>
      <c r="D33" s="158">
        <f>D31-D32</f>
        <v>6.8803804721495609E-2</v>
      </c>
      <c r="E33" s="97">
        <f>E31-E32</f>
        <v>7.054942714603829E-2</v>
      </c>
    </row>
    <row r="35" spans="1:5" ht="29.25" customHeight="1">
      <c r="A35" s="181" t="s">
        <v>130</v>
      </c>
      <c r="B35" s="181"/>
      <c r="C35" s="181"/>
      <c r="D35" s="181"/>
      <c r="E35" s="181"/>
    </row>
    <row r="36" spans="1:5">
      <c r="B36" s="189" t="s">
        <v>13</v>
      </c>
      <c r="C36" s="190"/>
      <c r="D36" s="186" t="s">
        <v>14</v>
      </c>
      <c r="E36" s="187"/>
    </row>
    <row r="37" spans="1:5">
      <c r="B37" s="173" t="s">
        <v>224</v>
      </c>
      <c r="C37" s="173" t="s">
        <v>15</v>
      </c>
      <c r="D37" s="66" t="s">
        <v>224</v>
      </c>
      <c r="E37" s="173" t="s">
        <v>15</v>
      </c>
    </row>
    <row r="38" spans="1:5">
      <c r="A38" s="66" t="str">
        <f>A6</f>
        <v>Gross domestic product</v>
      </c>
      <c r="B38" s="156">
        <f>B6</f>
        <v>2.6990041820100563</v>
      </c>
      <c r="C38" s="91">
        <f>C6</f>
        <v>5.1407518139664932</v>
      </c>
      <c r="D38" s="156">
        <f>D6</f>
        <v>2.344928179144623</v>
      </c>
      <c r="E38" s="91">
        <f>E6</f>
        <v>4.9732034215641985</v>
      </c>
    </row>
    <row r="39" spans="1:5">
      <c r="A39" s="67" t="str">
        <f>A12</f>
        <v>Net domestic product</v>
      </c>
      <c r="B39" s="157">
        <f>B12</f>
        <v>2.5183581330243232</v>
      </c>
      <c r="C39" s="94">
        <f>C12</f>
        <v>5.1143950415301953</v>
      </c>
      <c r="D39" s="157">
        <f>D12</f>
        <v>2.9681334981124241</v>
      </c>
      <c r="E39" s="94">
        <f>E12</f>
        <v>5.1298159675575272</v>
      </c>
    </row>
    <row r="40" spans="1:5">
      <c r="A40" s="67" t="s">
        <v>143</v>
      </c>
      <c r="B40" s="157">
        <f>B38-B39</f>
        <v>0.18064604898573311</v>
      </c>
      <c r="C40" s="94">
        <f>C38-C39</f>
        <v>2.6356772436297859E-2</v>
      </c>
      <c r="D40" s="157">
        <f>D38-D39</f>
        <v>-0.62320531896780107</v>
      </c>
      <c r="E40" s="94">
        <f>E38-E39</f>
        <v>-0.15661254599332874</v>
      </c>
    </row>
    <row r="41" spans="1:5">
      <c r="A41" s="67" t="str">
        <f>A7</f>
        <v>Gross domestic income</v>
      </c>
      <c r="B41" s="157">
        <f>B7</f>
        <v>2.738634835831677</v>
      </c>
      <c r="C41" s="94">
        <f>C7</f>
        <v>5.1812377582233005</v>
      </c>
      <c r="D41" s="157">
        <f>D7</f>
        <v>2.3758247428249613</v>
      </c>
      <c r="E41" s="94">
        <f>E7</f>
        <v>4.9732034215641985</v>
      </c>
    </row>
    <row r="42" spans="1:5">
      <c r="A42" s="67" t="str">
        <f>A13</f>
        <v>Net domestic income</v>
      </c>
      <c r="B42" s="157">
        <f>B13</f>
        <v>2.5651305075507613</v>
      </c>
      <c r="C42" s="94">
        <f>C13</f>
        <v>5.1623591421060544</v>
      </c>
      <c r="D42" s="157">
        <f>D13</f>
        <v>2.3467139024796024</v>
      </c>
      <c r="E42" s="94">
        <f>E13</f>
        <v>4.9433540096251782</v>
      </c>
    </row>
    <row r="43" spans="1:5">
      <c r="A43" s="67" t="s">
        <v>143</v>
      </c>
      <c r="B43" s="157">
        <f>B41-B42</f>
        <v>0.17350432828091567</v>
      </c>
      <c r="C43" s="94">
        <f>C41-C42</f>
        <v>1.8878616117246061E-2</v>
      </c>
      <c r="D43" s="157">
        <f>D41-D42</f>
        <v>2.9110840345358824E-2</v>
      </c>
      <c r="E43" s="94">
        <f>E41-E42</f>
        <v>2.9849411939020243E-2</v>
      </c>
    </row>
    <row r="44" spans="1:5">
      <c r="A44" s="67" t="str">
        <f>A9</f>
        <v>Gross national product</v>
      </c>
      <c r="B44" s="157">
        <f>B9</f>
        <v>2.7040024403247598</v>
      </c>
      <c r="C44" s="94">
        <f>C9</f>
        <v>5.1476766200386992</v>
      </c>
      <c r="D44" s="157">
        <f>D9</f>
        <v>2.4030736574785383</v>
      </c>
      <c r="E44" s="94">
        <f>E9</f>
        <v>5.0328421084418373</v>
      </c>
    </row>
    <row r="45" spans="1:5">
      <c r="A45" s="67" t="str">
        <f>A15</f>
        <v>Net national product</v>
      </c>
      <c r="B45" s="157">
        <f>B15</f>
        <v>2.5259239087870977</v>
      </c>
      <c r="C45" s="94">
        <f>C15</f>
        <v>5.1230371804140473</v>
      </c>
      <c r="D45" s="157">
        <f>D15</f>
        <v>2.9676182113191896</v>
      </c>
      <c r="E45" s="94">
        <f>E15</f>
        <v>5.1294287156981477</v>
      </c>
    </row>
    <row r="46" spans="1:5">
      <c r="A46" s="67" t="s">
        <v>143</v>
      </c>
      <c r="B46" s="157">
        <f>B44-B45</f>
        <v>0.17807853153766207</v>
      </c>
      <c r="C46" s="94">
        <f>C44-C45</f>
        <v>2.4639439624651871E-2</v>
      </c>
      <c r="D46" s="157">
        <f>D44-D45</f>
        <v>-0.56454455384065128</v>
      </c>
      <c r="E46" s="94">
        <f>E44-E45</f>
        <v>-9.6586607256310408E-2</v>
      </c>
    </row>
    <row r="47" spans="1:5">
      <c r="A47" s="67" t="str">
        <f>A10</f>
        <v>Gross national income</v>
      </c>
      <c r="B47" s="157">
        <f>B10</f>
        <v>2.7432063032134968</v>
      </c>
      <c r="C47" s="94">
        <f>C10</f>
        <v>5.1878236845919412</v>
      </c>
      <c r="D47" s="157">
        <f>D10</f>
        <v>2.4339877745003458</v>
      </c>
      <c r="E47" s="94">
        <f>E10</f>
        <v>5.0328421084418373</v>
      </c>
    </row>
    <row r="48" spans="1:5">
      <c r="A48" s="67" t="str">
        <f>A16</f>
        <v>Net national income</v>
      </c>
      <c r="B48" s="157">
        <f>B16</f>
        <v>2.7268790894126038</v>
      </c>
      <c r="C48" s="94">
        <f>C16</f>
        <v>5.1428800185520984</v>
      </c>
      <c r="D48" s="157">
        <f>D16</f>
        <v>2.415517707201098</v>
      </c>
      <c r="E48" s="94">
        <f>E16</f>
        <v>5.0139034367712165</v>
      </c>
    </row>
    <row r="49" spans="1:5">
      <c r="A49" s="68" t="s">
        <v>143</v>
      </c>
      <c r="B49" s="158">
        <f>B47-B48</f>
        <v>1.632721380089297E-2</v>
      </c>
      <c r="C49" s="97">
        <f>C47-C48</f>
        <v>4.4943666039842789E-2</v>
      </c>
      <c r="D49" s="158">
        <f>D47-D48</f>
        <v>1.8470067299247717E-2</v>
      </c>
      <c r="E49" s="97">
        <f>E47-E48</f>
        <v>1.8938671670620799E-2</v>
      </c>
    </row>
    <row r="51" spans="1:5">
      <c r="A51" s="174" t="s">
        <v>49</v>
      </c>
      <c r="B51" s="174"/>
      <c r="C51" s="174"/>
      <c r="D51" s="174"/>
      <c r="E51" s="174"/>
    </row>
  </sheetData>
  <mergeCells count="10">
    <mergeCell ref="A51:E51"/>
    <mergeCell ref="A35:E35"/>
    <mergeCell ref="B36:C36"/>
    <mergeCell ref="D36:E36"/>
    <mergeCell ref="A1:E1"/>
    <mergeCell ref="A3:E3"/>
    <mergeCell ref="B4:C4"/>
    <mergeCell ref="D4:E4"/>
    <mergeCell ref="B20:C20"/>
    <mergeCell ref="D20:E20"/>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sheetPr codeName="Sheet15"/>
  <dimension ref="A1:AR89"/>
  <sheetViews>
    <sheetView view="pageBreakPreview" zoomScale="85" zoomScaleSheetLayoutView="85" workbookViewId="0">
      <selection activeCell="K7" sqref="K7"/>
    </sheetView>
  </sheetViews>
  <sheetFormatPr defaultRowHeight="15"/>
  <cols>
    <col min="1" max="1" width="9.140625" style="15"/>
    <col min="2" max="10" width="14.28515625" style="15" customWidth="1"/>
    <col min="11" max="11" width="14.28515625" style="42" customWidth="1"/>
    <col min="12" max="12" width="9.140625" style="15"/>
    <col min="13" max="21" width="14.28515625" style="15" customWidth="1"/>
    <col min="22" max="25" width="0" style="15" hidden="1" customWidth="1"/>
    <col min="26" max="16384" width="9.140625" style="15"/>
  </cols>
  <sheetData>
    <row r="1" spans="1:26">
      <c r="A1" s="199" t="s">
        <v>235</v>
      </c>
      <c r="B1" s="199"/>
      <c r="C1" s="199"/>
      <c r="D1" s="199"/>
      <c r="E1" s="199"/>
      <c r="F1" s="199"/>
      <c r="G1" s="199"/>
      <c r="H1" s="199"/>
      <c r="I1" s="199"/>
      <c r="J1" s="199"/>
      <c r="L1" s="199" t="s">
        <v>236</v>
      </c>
      <c r="M1" s="199"/>
      <c r="N1" s="199"/>
      <c r="O1" s="199"/>
      <c r="P1" s="199"/>
      <c r="Q1" s="199"/>
      <c r="R1" s="199"/>
      <c r="S1" s="199"/>
      <c r="T1" s="199"/>
      <c r="U1" s="199"/>
    </row>
    <row r="2" spans="1:26" ht="75">
      <c r="A2" s="113" t="s">
        <v>39</v>
      </c>
      <c r="B2" s="47" t="s">
        <v>40</v>
      </c>
      <c r="C2" s="47" t="s">
        <v>0</v>
      </c>
      <c r="D2" s="47" t="s">
        <v>2</v>
      </c>
      <c r="E2" s="47" t="s">
        <v>6</v>
      </c>
      <c r="F2" s="47" t="s">
        <v>3</v>
      </c>
      <c r="G2" s="47" t="s">
        <v>4</v>
      </c>
      <c r="H2" s="47" t="s">
        <v>5</v>
      </c>
      <c r="I2" s="47" t="s">
        <v>1</v>
      </c>
      <c r="J2" s="47" t="s">
        <v>10</v>
      </c>
      <c r="K2" s="47"/>
      <c r="L2" s="113" t="s">
        <v>39</v>
      </c>
      <c r="M2" s="47" t="s">
        <v>43</v>
      </c>
      <c r="N2" s="47" t="s">
        <v>0</v>
      </c>
      <c r="O2" s="47" t="s">
        <v>2</v>
      </c>
      <c r="P2" s="47" t="s">
        <v>6</v>
      </c>
      <c r="Q2" s="47" t="s">
        <v>3</v>
      </c>
      <c r="R2" s="47" t="s">
        <v>9</v>
      </c>
      <c r="S2" s="47" t="s">
        <v>11</v>
      </c>
      <c r="T2" s="47" t="s">
        <v>8</v>
      </c>
      <c r="U2" s="47" t="s">
        <v>10</v>
      </c>
      <c r="Z2" s="155"/>
    </row>
    <row r="3" spans="1:26">
      <c r="A3" s="203"/>
      <c r="B3" s="9"/>
      <c r="C3" s="13" t="s">
        <v>17</v>
      </c>
      <c r="D3" s="13" t="s">
        <v>18</v>
      </c>
      <c r="E3" s="13" t="s">
        <v>19</v>
      </c>
      <c r="F3" s="13" t="s">
        <v>20</v>
      </c>
      <c r="G3" s="13" t="s">
        <v>21</v>
      </c>
      <c r="H3" s="13" t="s">
        <v>22</v>
      </c>
      <c r="I3" s="13" t="s">
        <v>23</v>
      </c>
      <c r="J3" s="13" t="s">
        <v>24</v>
      </c>
      <c r="K3" s="13"/>
      <c r="L3" s="203"/>
      <c r="M3" s="203"/>
      <c r="N3" s="13" t="s">
        <v>17</v>
      </c>
      <c r="O3" s="13" t="s">
        <v>18</v>
      </c>
      <c r="P3" s="13" t="s">
        <v>19</v>
      </c>
      <c r="Q3" s="13" t="s">
        <v>20</v>
      </c>
      <c r="R3" s="13" t="s">
        <v>21</v>
      </c>
      <c r="S3" s="13" t="s">
        <v>22</v>
      </c>
      <c r="T3" s="13" t="s">
        <v>23</v>
      </c>
      <c r="U3" s="13" t="s">
        <v>24</v>
      </c>
      <c r="Z3" s="155"/>
    </row>
    <row r="4" spans="1:26">
      <c r="A4" s="204">
        <v>1969</v>
      </c>
      <c r="B4" s="45">
        <v>202736</v>
      </c>
      <c r="C4" s="45">
        <f>'5'!B4/'9'!B4*10^6</f>
        <v>5019.3354904900953</v>
      </c>
      <c r="D4" s="45">
        <f>'5'!C4/'9'!$B4*10^6</f>
        <v>5011.4434535553628</v>
      </c>
      <c r="E4" s="45">
        <f>'5'!D4/'9'!$B4*10^6</f>
        <v>5049.4238813037655</v>
      </c>
      <c r="F4" s="45">
        <f>'5'!E4/'9'!$B4*10^6</f>
        <v>5041.5318443690312</v>
      </c>
      <c r="G4" s="45">
        <f>'5'!F4/'9'!$B4*10^6</f>
        <v>4403.2633572725117</v>
      </c>
      <c r="H4" s="45">
        <f>'5'!G4/'9'!$B4*10^6</f>
        <v>4395.3713203377793</v>
      </c>
      <c r="I4" s="45">
        <f>'5'!H4/'9'!$B4*10^6</f>
        <v>4433.351748086181</v>
      </c>
      <c r="J4" s="45">
        <f>'5'!I4/'9'!$B4*10^6</f>
        <v>4648.4097545576506</v>
      </c>
      <c r="K4" s="45"/>
      <c r="L4" s="204">
        <v>1981</v>
      </c>
      <c r="M4" s="45">
        <v>24784554</v>
      </c>
      <c r="N4" s="45">
        <f>(10^9)*'5'!L4/'9'!$M4</f>
        <v>14862.28075760411</v>
      </c>
      <c r="O4" s="45">
        <f>(10^9)*'5'!M4/'9'!$M4</f>
        <v>14862.28075760411</v>
      </c>
      <c r="P4" s="45">
        <f>(10^9)*'5'!N4/'9'!$M4</f>
        <v>14366.00392324994</v>
      </c>
      <c r="Q4" s="45">
        <f>(10^9)*'5'!O4/'9'!$M4</f>
        <v>14366.00392324994</v>
      </c>
      <c r="R4" s="45">
        <f>(10^9)*'5'!P4/'9'!$M4</f>
        <v>-2313483.0265656584</v>
      </c>
      <c r="S4" s="45">
        <f>(10^9)*'5'!Q4/'9'!$M4</f>
        <v>12533.935450280849</v>
      </c>
      <c r="T4" s="45">
        <f>(10^9)*'5'!R4/'9'!$M4</f>
        <v>-2313979.3034000127</v>
      </c>
      <c r="U4" s="45">
        <f>(10^9)*'5'!S4/'9'!$M4</f>
        <v>12037.658615926677</v>
      </c>
      <c r="Z4" s="155"/>
    </row>
    <row r="5" spans="1:26">
      <c r="A5" s="204">
        <v>1970</v>
      </c>
      <c r="B5" s="45">
        <v>205089</v>
      </c>
      <c r="C5" s="45">
        <f>'5'!B5/'9'!B5*10^6</f>
        <v>5233.3377216720537</v>
      </c>
      <c r="D5" s="45">
        <f>'5'!C5/'9'!$B5*10^6</f>
        <v>5207.4952825358741</v>
      </c>
      <c r="E5" s="45">
        <f>'5'!D5/'9'!$B5*10^6</f>
        <v>5264.5436859119709</v>
      </c>
      <c r="F5" s="45">
        <f>'5'!E5/'9'!$B5*10^6</f>
        <v>5238.7012467757913</v>
      </c>
      <c r="G5" s="45">
        <f>'5'!F5/'9'!$B5*10^6</f>
        <v>4566.3102360438634</v>
      </c>
      <c r="H5" s="45">
        <f>'5'!G5/'9'!$B5*10^6</f>
        <v>4539.9802037164354</v>
      </c>
      <c r="I5" s="45">
        <f>'5'!H5/'9'!$B5*10^6</f>
        <v>4597.5162002837797</v>
      </c>
      <c r="J5" s="45">
        <f>'5'!I5/'9'!$B5*10^6</f>
        <v>4819.858695493177</v>
      </c>
      <c r="K5" s="45"/>
      <c r="L5" s="204">
        <v>1982</v>
      </c>
      <c r="M5" s="45">
        <v>25082944.5</v>
      </c>
      <c r="N5" s="45">
        <f>(10^9)*'5'!L5/'9'!$M5</f>
        <v>15475.695048482046</v>
      </c>
      <c r="O5" s="45">
        <f>(10^9)*'5'!M5/'9'!$M5</f>
        <v>15475.695048482046</v>
      </c>
      <c r="P5" s="45">
        <f>(10^9)*'5'!N5/'9'!$M5</f>
        <v>14941.18842387105</v>
      </c>
      <c r="Q5" s="45">
        <f>(10^9)*'5'!O5/'9'!$M5</f>
        <v>14941.18842387105</v>
      </c>
      <c r="R5" s="45">
        <f>(10^9)*'5'!P5/'9'!$M5</f>
        <v>-2566916.4957886026</v>
      </c>
      <c r="S5" s="45">
        <f>(10^9)*'5'!Q5/'9'!$M5</f>
        <v>12893.302857644965</v>
      </c>
      <c r="T5" s="45">
        <f>(10^9)*'5'!R5/'9'!$M5</f>
        <v>-2567451.0024132137</v>
      </c>
      <c r="U5" s="45">
        <f>(10^9)*'5'!S5/'9'!$M5</f>
        <v>12358.796233033965</v>
      </c>
      <c r="Z5" s="155"/>
    </row>
    <row r="6" spans="1:26">
      <c r="A6" s="204">
        <v>1971</v>
      </c>
      <c r="B6" s="45">
        <v>207692</v>
      </c>
      <c r="C6" s="45">
        <f>'5'!B6/'9'!B6*10^6</f>
        <v>5608.7860870904997</v>
      </c>
      <c r="D6" s="45">
        <f>'5'!C6/'9'!$B6*10^6</f>
        <v>5562.5637963908093</v>
      </c>
      <c r="E6" s="45">
        <f>'5'!D6/'9'!$B6*10^6</f>
        <v>5644.8972516996328</v>
      </c>
      <c r="F6" s="45">
        <f>'5'!E6/'9'!$B6*10^6</f>
        <v>5599.1564431947309</v>
      </c>
      <c r="G6" s="45">
        <f>'5'!F6/'9'!$B6*10^6</f>
        <v>4891.3776168557288</v>
      </c>
      <c r="H6" s="45">
        <f>'5'!G6/'9'!$B6*10^6</f>
        <v>4845.6368083508269</v>
      </c>
      <c r="I6" s="45">
        <f>'5'!H6/'9'!$B6*10^6</f>
        <v>4927.9702636596503</v>
      </c>
      <c r="J6" s="45">
        <f>'5'!I6/'9'!$B6*10^6</f>
        <v>5154.7483774050042</v>
      </c>
      <c r="K6" s="45"/>
      <c r="L6" s="204">
        <v>1983</v>
      </c>
      <c r="M6" s="45">
        <v>25335950.75</v>
      </c>
      <c r="N6" s="45">
        <f>(10^9)*'5'!L6/'9'!$M6</f>
        <v>16628.979277598261</v>
      </c>
      <c r="O6" s="45">
        <f>(10^9)*'5'!M6/'9'!$M6</f>
        <v>16628.979277598261</v>
      </c>
      <c r="P6" s="45">
        <f>(10^9)*'5'!N6/'9'!$M6</f>
        <v>16141.687518870789</v>
      </c>
      <c r="Q6" s="45">
        <f>(10^9)*'5'!O6/'9'!$M6</f>
        <v>16141.687518870789</v>
      </c>
      <c r="R6" s="45">
        <f>(10^9)*'5'!P6/'9'!$M6</f>
        <v>-2659331.3850675211</v>
      </c>
      <c r="S6" s="45">
        <f>(10^9)*'5'!Q6/'9'!$M6</f>
        <v>13953.018913253138</v>
      </c>
      <c r="T6" s="45">
        <f>(10^9)*'5'!R6/'9'!$M6</f>
        <v>-2659818.6768262484</v>
      </c>
      <c r="U6" s="45">
        <f>(10^9)*'5'!S6/'9'!$M6</f>
        <v>13465.72715452567</v>
      </c>
      <c r="Z6" s="155"/>
    </row>
    <row r="7" spans="1:26">
      <c r="A7" s="204">
        <v>1972</v>
      </c>
      <c r="B7" s="45">
        <v>209924</v>
      </c>
      <c r="C7" s="45">
        <f>'5'!B7/'9'!B7*10^6</f>
        <v>6093.1575236752342</v>
      </c>
      <c r="D7" s="45">
        <f>'5'!C7/'9'!$B7*10^6</f>
        <v>6058.8593967340566</v>
      </c>
      <c r="E7" s="45">
        <f>'5'!D7/'9'!$B7*10^6</f>
        <v>6134.1247308549764</v>
      </c>
      <c r="F7" s="45">
        <f>'5'!E7/'9'!$B7*10^6</f>
        <v>6099.826603913797</v>
      </c>
      <c r="G7" s="45">
        <f>'5'!F7/'9'!$B7*10^6</f>
        <v>5326.213296240544</v>
      </c>
      <c r="H7" s="45">
        <f>'5'!G7/'9'!$B7*10^6</f>
        <v>5291.9151692993655</v>
      </c>
      <c r="I7" s="45">
        <f>'5'!H7/'9'!$B7*10^6</f>
        <v>5367.1805034202853</v>
      </c>
      <c r="J7" s="45">
        <f>'5'!I7/'9'!$B7*10^6</f>
        <v>5612.5073836245501</v>
      </c>
      <c r="K7" s="45"/>
      <c r="L7" s="204">
        <v>1984</v>
      </c>
      <c r="M7" s="45">
        <v>25576735</v>
      </c>
      <c r="N7" s="45">
        <f>(10^9)*'5'!L7/'9'!$M7</f>
        <v>18062.508760402765</v>
      </c>
      <c r="O7" s="45">
        <f>(10^9)*'5'!M7/'9'!$M7</f>
        <v>18062.508760402765</v>
      </c>
      <c r="P7" s="45">
        <f>(10^9)*'5'!N7/'9'!$M7</f>
        <v>17503.524198847117</v>
      </c>
      <c r="Q7" s="45">
        <f>(10^9)*'5'!O7/'9'!$M7</f>
        <v>17503.524198847117</v>
      </c>
      <c r="R7" s="45">
        <f>(10^9)*'5'!P7/'9'!$M7</f>
        <v>-2795510.0602168338</v>
      </c>
      <c r="S7" s="45">
        <f>(10^9)*'5'!Q7/'9'!$M7</f>
        <v>15248.936191425528</v>
      </c>
      <c r="T7" s="45">
        <f>(10^9)*'5'!R7/'9'!$M7</f>
        <v>-2796069.0447783894</v>
      </c>
      <c r="U7" s="45">
        <f>(10^9)*'5'!S7/'9'!$M7</f>
        <v>14689.95162986988</v>
      </c>
      <c r="Z7" s="155"/>
    </row>
    <row r="8" spans="1:26">
      <c r="A8" s="204">
        <v>1973</v>
      </c>
      <c r="B8" s="45">
        <v>211939</v>
      </c>
      <c r="C8" s="45">
        <f>'5'!B8/'9'!B8*10^6</f>
        <v>6725.520078890625</v>
      </c>
      <c r="D8" s="45">
        <f>'5'!C8/'9'!$B8*10^6</f>
        <v>6696.2663785334462</v>
      </c>
      <c r="E8" s="45">
        <f>'5'!D8/'9'!$B8*10^6</f>
        <v>6784.9711473584375</v>
      </c>
      <c r="F8" s="45">
        <f>'5'!E8/'9'!$B8*10^6</f>
        <v>6755.7174470012596</v>
      </c>
      <c r="G8" s="45">
        <f>'5'!F8/'9'!$B8*10^6</f>
        <v>5882.3529411764703</v>
      </c>
      <c r="H8" s="45">
        <f>'5'!G8/'9'!$B8*10^6</f>
        <v>5853.0992408192924</v>
      </c>
      <c r="I8" s="45">
        <f>'5'!H8/'9'!$B8*10^6</f>
        <v>5941.8040096442837</v>
      </c>
      <c r="J8" s="45">
        <f>'5'!I8/'9'!$B8*10^6</f>
        <v>6227.7353389418649</v>
      </c>
      <c r="K8" s="45"/>
      <c r="L8" s="204">
        <v>1985</v>
      </c>
      <c r="M8" s="45">
        <v>25813200</v>
      </c>
      <c r="N8" s="45">
        <f>(10^9)*'5'!L8/'9'!$M8</f>
        <v>19370.709559450206</v>
      </c>
      <c r="O8" s="45">
        <f>(10^9)*'5'!M8/'9'!$M8</f>
        <v>19370.709559450206</v>
      </c>
      <c r="P8" s="45">
        <f>(10^9)*'5'!N8/'9'!$M8</f>
        <v>18778.686873382609</v>
      </c>
      <c r="Q8" s="45">
        <f>(10^9)*'5'!O8/'9'!$M8</f>
        <v>18778.686873382609</v>
      </c>
      <c r="R8" s="45">
        <f>(10^9)*'5'!P8/'9'!$M8</f>
        <v>-2951744.8437233665</v>
      </c>
      <c r="S8" s="45">
        <f>(10^9)*'5'!Q8/'9'!$M8</f>
        <v>16399.594006167386</v>
      </c>
      <c r="T8" s="45">
        <f>(10^9)*'5'!R8/'9'!$M8</f>
        <v>-2952336.866409434</v>
      </c>
      <c r="U8" s="45">
        <f>(10^9)*'5'!S8/'9'!$M8</f>
        <v>15807.571320099794</v>
      </c>
      <c r="Z8" s="155"/>
    </row>
    <row r="9" spans="1:26">
      <c r="A9" s="204">
        <v>1974</v>
      </c>
      <c r="B9" s="45">
        <v>213898</v>
      </c>
      <c r="C9" s="45">
        <f>'5'!B9/'9'!B9*10^6</f>
        <v>7224.0039645064471</v>
      </c>
      <c r="D9" s="45">
        <f>'5'!C9/'9'!$B9*10^6</f>
        <v>7189.4080356057557</v>
      </c>
      <c r="E9" s="45">
        <f>'5'!D9/'9'!$B9*10^6</f>
        <v>7296.9359227295245</v>
      </c>
      <c r="F9" s="45">
        <f>'5'!E9/'9'!$B9*10^6</f>
        <v>7261.872481276122</v>
      </c>
      <c r="G9" s="45">
        <f>'5'!F9/'9'!$B9*10^6</f>
        <v>6256.7204929452355</v>
      </c>
      <c r="H9" s="45">
        <f>'5'!G9/'9'!$B9*10^6</f>
        <v>6222.124564044545</v>
      </c>
      <c r="I9" s="45">
        <f>'5'!H9/'9'!$B9*10^6</f>
        <v>6329.6524511683147</v>
      </c>
      <c r="J9" s="45">
        <f>'5'!I9/'9'!$B9*10^6</f>
        <v>6682.6244284659033</v>
      </c>
      <c r="K9" s="45"/>
      <c r="L9" s="204">
        <v>1986</v>
      </c>
      <c r="M9" s="45">
        <v>26067486.5</v>
      </c>
      <c r="N9" s="45">
        <f>(10^9)*'5'!L9/'9'!$M9</f>
        <v>20202.254636249647</v>
      </c>
      <c r="O9" s="45">
        <f>(10^9)*'5'!M9/'9'!$M9</f>
        <v>20202.254636249647</v>
      </c>
      <c r="P9" s="45">
        <f>(10^9)*'5'!N9/'9'!$M9</f>
        <v>19522.365533784778</v>
      </c>
      <c r="Q9" s="45">
        <f>(10^9)*'5'!O9/'9'!$M9</f>
        <v>19522.365533784778</v>
      </c>
      <c r="R9" s="45">
        <f>(10^9)*'5'!P9/'9'!$M9</f>
        <v>-3094367.3069515158</v>
      </c>
      <c r="S9" s="45">
        <f>(10^9)*'5'!Q9/'9'!$M9</f>
        <v>17087.685074661877</v>
      </c>
      <c r="T9" s="45">
        <f>(10^9)*'5'!R9/'9'!$M9</f>
        <v>-3095047.1960539808</v>
      </c>
      <c r="U9" s="45">
        <f>(10^9)*'5'!S9/'9'!$M9</f>
        <v>16407.795972197015</v>
      </c>
      <c r="Z9" s="155"/>
    </row>
    <row r="10" spans="1:26">
      <c r="A10" s="204">
        <v>1975</v>
      </c>
      <c r="B10" s="45">
        <v>215981</v>
      </c>
      <c r="C10" s="45">
        <f>'5'!B10/'9'!B10*10^6</f>
        <v>7801.1491751589265</v>
      </c>
      <c r="D10" s="45">
        <f>'5'!C10/'9'!$B10*10^6</f>
        <v>7739.5696843703845</v>
      </c>
      <c r="E10" s="45">
        <f>'5'!D10/'9'!$B10*10^6</f>
        <v>7861.3396548770506</v>
      </c>
      <c r="F10" s="45">
        <f>'5'!E10/'9'!$B10*10^6</f>
        <v>7799.7601640885077</v>
      </c>
      <c r="G10" s="45">
        <f>'5'!F10/'9'!$B10*10^6</f>
        <v>6696.8853741764324</v>
      </c>
      <c r="H10" s="45">
        <f>'5'!G10/'9'!$B10*10^6</f>
        <v>6634.8428796977514</v>
      </c>
      <c r="I10" s="45">
        <f>'5'!H10/'9'!$B10*10^6</f>
        <v>6757.0758538945565</v>
      </c>
      <c r="J10" s="45">
        <f>'5'!I10/'9'!$B10*10^6</f>
        <v>7170.5381491890485</v>
      </c>
      <c r="K10" s="45"/>
      <c r="L10" s="204">
        <v>1987</v>
      </c>
      <c r="M10" s="45">
        <v>26397870.25</v>
      </c>
      <c r="N10" s="45">
        <f>(10^9)*'5'!L10/'9'!$M10</f>
        <v>21756.565759315374</v>
      </c>
      <c r="O10" s="45">
        <f>(10^9)*'5'!M10/'9'!$M10</f>
        <v>21756.565759315374</v>
      </c>
      <c r="P10" s="45">
        <f>(10^9)*'5'!N10/'9'!$M10</f>
        <v>21085.867713134932</v>
      </c>
      <c r="Q10" s="45">
        <f>(10^9)*'5'!O10/'9'!$M10</f>
        <v>21085.867713134932</v>
      </c>
      <c r="R10" s="45">
        <f>(10^9)*'5'!P10/'9'!$M10</f>
        <v>-3229679.9776868364</v>
      </c>
      <c r="S10" s="45">
        <f>(10^9)*'5'!Q10/'9'!$M10</f>
        <v>18505.129215869227</v>
      </c>
      <c r="T10" s="45">
        <f>(10^9)*'5'!R10/'9'!$M10</f>
        <v>-3230350.6757330168</v>
      </c>
      <c r="U10" s="45">
        <f>(10^9)*'5'!S10/'9'!$M10</f>
        <v>17834.431169688774</v>
      </c>
      <c r="Z10" s="155"/>
    </row>
    <row r="11" spans="1:26">
      <c r="A11" s="204">
        <v>1976</v>
      </c>
      <c r="B11" s="45">
        <v>218086</v>
      </c>
      <c r="C11" s="45">
        <f>'5'!B11/'9'!B11*10^6</f>
        <v>8590.1891914198986</v>
      </c>
      <c r="D11" s="45">
        <f>'5'!C11/'9'!$B11*10^6</f>
        <v>8495.73104188256</v>
      </c>
      <c r="E11" s="45">
        <f>'5'!D11/'9'!$B11*10^6</f>
        <v>8667.681556817035</v>
      </c>
      <c r="F11" s="45">
        <f>'5'!E11/'9'!$B11*10^6</f>
        <v>8572.7648725732051</v>
      </c>
      <c r="G11" s="45">
        <f>'5'!F11/'9'!$B11*10^6</f>
        <v>7397.0818851278855</v>
      </c>
      <c r="H11" s="45">
        <f>'5'!G11/'9'!$B11*10^6</f>
        <v>7302.1652008840556</v>
      </c>
      <c r="I11" s="45">
        <f>'5'!H11/'9'!$B11*10^6</f>
        <v>7474.1157158185306</v>
      </c>
      <c r="J11" s="45">
        <f>'5'!I11/'9'!$B11*10^6</f>
        <v>7896.8847152040935</v>
      </c>
      <c r="K11" s="45"/>
      <c r="L11" s="204">
        <v>1988</v>
      </c>
      <c r="M11" s="45">
        <v>26751473.75</v>
      </c>
      <c r="N11" s="45">
        <f>(10^9)*'5'!L11/'9'!$M11</f>
        <v>23433.662229543523</v>
      </c>
      <c r="O11" s="45">
        <f>(10^9)*'5'!M11/'9'!$M11</f>
        <v>23433.662229543523</v>
      </c>
      <c r="P11" s="45">
        <f>(10^9)*'5'!N11/'9'!$M11</f>
        <v>22675.012437398887</v>
      </c>
      <c r="Q11" s="45">
        <f>(10^9)*'5'!O11/'9'!$M11</f>
        <v>22675.012437398887</v>
      </c>
      <c r="R11" s="45">
        <f>(10^9)*'5'!P11/'9'!$M11</f>
        <v>-3419292.5539289215</v>
      </c>
      <c r="S11" s="45">
        <f>(10^9)*'5'!Q11/'9'!$M11</f>
        <v>19990.936013385061</v>
      </c>
      <c r="T11" s="45">
        <f>(10^9)*'5'!R11/'9'!$M11</f>
        <v>-3420051.203721066</v>
      </c>
      <c r="U11" s="45">
        <f>(10^9)*'5'!S11/'9'!$M11</f>
        <v>19232.286221240425</v>
      </c>
      <c r="Z11" s="155"/>
    </row>
    <row r="12" spans="1:26">
      <c r="A12" s="204">
        <v>1977</v>
      </c>
      <c r="B12" s="45">
        <v>220289</v>
      </c>
      <c r="C12" s="45">
        <f>'5'!B12/'9'!B12*10^6</f>
        <v>9450.3129979254536</v>
      </c>
      <c r="D12" s="45">
        <f>'5'!C12/'9'!$B12*10^6</f>
        <v>9362.2468666161276</v>
      </c>
      <c r="E12" s="45">
        <f>'5'!D12/'9'!$B12*10^6</f>
        <v>9542.4646714089213</v>
      </c>
      <c r="F12" s="45">
        <f>'5'!E12/'9'!$B12*10^6</f>
        <v>9454.3985400995971</v>
      </c>
      <c r="G12" s="45">
        <f>'5'!F12/'9'!$B12*10^6</f>
        <v>8134.7684178510963</v>
      </c>
      <c r="H12" s="45">
        <f>'5'!G12/'9'!$B12*10^6</f>
        <v>8046.2483374113099</v>
      </c>
      <c r="I12" s="45">
        <f>'5'!H12/'9'!$B12*10^6</f>
        <v>8226.9200913345649</v>
      </c>
      <c r="J12" s="45">
        <f>'5'!I12/'9'!$B12*10^6</f>
        <v>8696.3034922306597</v>
      </c>
      <c r="K12" s="45"/>
      <c r="L12" s="204">
        <v>1989</v>
      </c>
      <c r="M12" s="45">
        <v>27214902</v>
      </c>
      <c r="N12" s="45">
        <f>(10^9)*'5'!L12/'9'!$M12</f>
        <v>24676.443810086108</v>
      </c>
      <c r="O12" s="45">
        <f>(10^9)*'5'!M12/'9'!$M12</f>
        <v>24676.443810086108</v>
      </c>
      <c r="P12" s="45">
        <f>(10^9)*'5'!N12/'9'!$M12</f>
        <v>23827.974835257541</v>
      </c>
      <c r="Q12" s="45">
        <f>(10^9)*'5'!O12/'9'!$M12</f>
        <v>23827.974835257541</v>
      </c>
      <c r="R12" s="45">
        <f>(10^9)*'5'!P12/'9'!$M12</f>
        <v>-3641550.2433188995</v>
      </c>
      <c r="S12" s="45">
        <f>(10^9)*'5'!Q12/'9'!$M12</f>
        <v>21010.217122957121</v>
      </c>
      <c r="T12" s="45">
        <f>(10^9)*'5'!R12/'9'!$M12</f>
        <v>-3642398.7122937278</v>
      </c>
      <c r="U12" s="45">
        <f>(10^9)*'5'!S12/'9'!$M12</f>
        <v>20161.748148128554</v>
      </c>
      <c r="Z12" s="155"/>
    </row>
    <row r="13" spans="1:26">
      <c r="A13" s="204">
        <v>1978</v>
      </c>
      <c r="B13" s="45">
        <v>222629</v>
      </c>
      <c r="C13" s="45">
        <f>'5'!B13/'9'!B13*10^6</f>
        <v>10562.864676210198</v>
      </c>
      <c r="D13" s="45">
        <f>'5'!C13/'9'!$B13*10^6</f>
        <v>10458.206253453054</v>
      </c>
      <c r="E13" s="45">
        <f>'5'!D13/'9'!$B13*10^6</f>
        <v>10659.887076706089</v>
      </c>
      <c r="F13" s="45">
        <f>'5'!E13/'9'!$B13*10^6</f>
        <v>10555.228653948947</v>
      </c>
      <c r="G13" s="45">
        <f>'5'!F13/'9'!$B13*10^6</f>
        <v>9093.1549798094584</v>
      </c>
      <c r="H13" s="45">
        <f>'5'!G13/'9'!$B13*10^6</f>
        <v>8988.4965570523163</v>
      </c>
      <c r="I13" s="45">
        <f>'5'!H13/'9'!$B13*10^6</f>
        <v>9190.1773803053511</v>
      </c>
      <c r="J13" s="45">
        <f>'5'!I13/'9'!$B13*10^6</f>
        <v>9704.4859384895954</v>
      </c>
      <c r="K13" s="45"/>
      <c r="L13" s="204">
        <v>1990</v>
      </c>
      <c r="M13" s="45">
        <v>27632360</v>
      </c>
      <c r="N13" s="45">
        <f>(10^9)*'5'!L13/'9'!$M13</f>
        <v>25169.294262234573</v>
      </c>
      <c r="O13" s="45">
        <f>(10^9)*'5'!M13/'9'!$M13</f>
        <v>25169.294262234573</v>
      </c>
      <c r="P13" s="45">
        <f>(10^9)*'5'!N13/'9'!$M13</f>
        <v>24263.617005568834</v>
      </c>
      <c r="Q13" s="45">
        <f>(10^9)*'5'!O13/'9'!$M13</f>
        <v>24263.617005568834</v>
      </c>
      <c r="R13" s="45">
        <f>(10^9)*'5'!P13/'9'!$M13</f>
        <v>-3831215.0319408113</v>
      </c>
      <c r="S13" s="45">
        <f>(10^9)*'5'!Q13/'9'!$M13</f>
        <v>21312.909936031519</v>
      </c>
      <c r="T13" s="45">
        <f>(10^9)*'5'!R13/'9'!$M13</f>
        <v>-3832120.709197477</v>
      </c>
      <c r="U13" s="45">
        <f>(10^9)*'5'!S13/'9'!$M13</f>
        <v>20407.232679365788</v>
      </c>
      <c r="Z13" s="155"/>
    </row>
    <row r="14" spans="1:26">
      <c r="A14" s="204">
        <v>1979</v>
      </c>
      <c r="B14" s="45">
        <v>225106</v>
      </c>
      <c r="C14" s="45">
        <f>'5'!B14/'9'!B14*10^6</f>
        <v>11671.390367204784</v>
      </c>
      <c r="D14" s="45">
        <f>'5'!C14/'9'!$B14*10^6</f>
        <v>11471.484545058773</v>
      </c>
      <c r="E14" s="45">
        <f>'5'!D14/'9'!$B14*10^6</f>
        <v>11813.545618508613</v>
      </c>
      <c r="F14" s="45">
        <f>'5'!E14/'9'!$B14*10^6</f>
        <v>11613.195561202278</v>
      </c>
      <c r="G14" s="45">
        <f>'5'!F14/'9'!$B14*10^6</f>
        <v>10010.839337911917</v>
      </c>
      <c r="H14" s="45">
        <f>'5'!G14/'9'!$B14*10^6</f>
        <v>9810.4892806055832</v>
      </c>
      <c r="I14" s="45">
        <f>'5'!H14/'9'!$B14*10^6</f>
        <v>10152.550354055424</v>
      </c>
      <c r="J14" s="45">
        <f>'5'!I14/'9'!$B14*10^6</f>
        <v>10653.2033797411</v>
      </c>
      <c r="K14" s="45"/>
      <c r="L14" s="204">
        <v>1991</v>
      </c>
      <c r="M14" s="45">
        <v>27987111.25</v>
      </c>
      <c r="N14" s="45">
        <f>(10^9)*'5'!L14/'9'!$M14</f>
        <v>25074.434932972941</v>
      </c>
      <c r="O14" s="45">
        <f>(10^9)*'5'!M14/'9'!$M14</f>
        <v>25074.434932972941</v>
      </c>
      <c r="P14" s="45">
        <f>(10^9)*'5'!N14/'9'!$M14</f>
        <v>24243.445275188951</v>
      </c>
      <c r="Q14" s="45">
        <f>(10^9)*'5'!O14/'9'!$M14</f>
        <v>24243.445275188951</v>
      </c>
      <c r="R14" s="45">
        <f>(10^9)*'5'!P14/'9'!$M14</f>
        <v>-3817480.0552164884</v>
      </c>
      <c r="S14" s="45">
        <f>(10^9)*'5'!Q14/'9'!$M14</f>
        <v>21231.880442823476</v>
      </c>
      <c r="T14" s="45">
        <f>(10^9)*'5'!R14/'9'!$M14</f>
        <v>-3818311.0448742723</v>
      </c>
      <c r="U14" s="45">
        <f>(10^9)*'5'!S14/'9'!$M14</f>
        <v>20400.89078503949</v>
      </c>
      <c r="Z14" s="155"/>
    </row>
    <row r="15" spans="1:26">
      <c r="A15" s="204">
        <v>1980</v>
      </c>
      <c r="B15" s="45">
        <v>227726</v>
      </c>
      <c r="C15" s="45">
        <f>'5'!B15/'9'!B15*10^6</f>
        <v>12547.096071594813</v>
      </c>
      <c r="D15" s="45">
        <f>'5'!C15/'9'!$B15*10^6</f>
        <v>12352.124922055453</v>
      </c>
      <c r="E15" s="45">
        <f>'5'!D15/'9'!$B15*10^6</f>
        <v>12697.276551645398</v>
      </c>
      <c r="F15" s="45">
        <f>'5'!E15/'9'!$B15*10^6</f>
        <v>12502.30540210604</v>
      </c>
      <c r="G15" s="45">
        <f>'5'!F15/'9'!$B15*10^6</f>
        <v>10665.887953066403</v>
      </c>
      <c r="H15" s="45">
        <f>'5'!G15/'9'!$B15*10^6</f>
        <v>10470.477679316371</v>
      </c>
      <c r="I15" s="45">
        <f>'5'!H15/'9'!$B15*10^6</f>
        <v>10816.068433116992</v>
      </c>
      <c r="J15" s="45">
        <f>'5'!I15/'9'!$B15*10^6</f>
        <v>11422.938092268778</v>
      </c>
      <c r="K15" s="45"/>
      <c r="L15" s="204">
        <v>1992</v>
      </c>
      <c r="M15" s="45">
        <v>28324154.25</v>
      </c>
      <c r="N15" s="45">
        <f>(10^9)*'5'!L15/'9'!$M15</f>
        <v>25364.323102427676</v>
      </c>
      <c r="O15" s="45">
        <f>(10^9)*'5'!M15/'9'!$M15</f>
        <v>25364.323102427676</v>
      </c>
      <c r="P15" s="45">
        <f>(10^9)*'5'!N15/'9'!$M15</f>
        <v>24455.063825956957</v>
      </c>
      <c r="Q15" s="45">
        <f>(10^9)*'5'!O15/'9'!$M15</f>
        <v>24455.063825956957</v>
      </c>
      <c r="R15" s="45">
        <f>(10^9)*'5'!P15/'9'!$M15</f>
        <v>-3903331.9768056269</v>
      </c>
      <c r="S15" s="45">
        <f>(10^9)*'5'!Q15/'9'!$M15</f>
        <v>21435.626802519619</v>
      </c>
      <c r="T15" s="45">
        <f>(10^9)*'5'!R15/'9'!$M15</f>
        <v>-3904241.2360820975</v>
      </c>
      <c r="U15" s="45">
        <f>(10^9)*'5'!S15/'9'!$M15</f>
        <v>20526.367526048904</v>
      </c>
      <c r="Z15" s="155"/>
    </row>
    <row r="16" spans="1:26">
      <c r="A16" s="204">
        <v>1981</v>
      </c>
      <c r="B16" s="45">
        <v>230008</v>
      </c>
      <c r="C16" s="45">
        <f>'5'!B16/'9'!B16*10^6</f>
        <v>13942.993287190011</v>
      </c>
      <c r="D16" s="45">
        <f>'5'!C16/'9'!$B16*10^6</f>
        <v>13777.781642377655</v>
      </c>
      <c r="E16" s="45">
        <f>'5'!D16/'9'!$B16*10^6</f>
        <v>14086.466557684951</v>
      </c>
      <c r="F16" s="45">
        <f>'5'!E16/'9'!$B16*10^6</f>
        <v>13920.820145386249</v>
      </c>
      <c r="G16" s="45">
        <f>'5'!F16/'9'!$B16*10^6</f>
        <v>11824.806093701089</v>
      </c>
      <c r="H16" s="45">
        <f>'5'!G16/'9'!$B16*10^6</f>
        <v>11659.159681402385</v>
      </c>
      <c r="I16" s="45">
        <f>'5'!H16/'9'!$B16*10^6</f>
        <v>11967.844596709678</v>
      </c>
      <c r="J16" s="45">
        <f>'5'!I16/'9'!$B16*10^6</f>
        <v>12611.300476505166</v>
      </c>
      <c r="K16" s="45"/>
      <c r="L16" s="204">
        <v>1993</v>
      </c>
      <c r="M16" s="45">
        <v>28651462.25</v>
      </c>
      <c r="N16" s="45">
        <f>(10^9)*'5'!L16/'9'!$M16</f>
        <v>26072.840313760949</v>
      </c>
      <c r="O16" s="45">
        <f>(10^9)*'5'!M16/'9'!$M16</f>
        <v>26072.840313760949</v>
      </c>
      <c r="P16" s="45">
        <f>(10^9)*'5'!N16/'9'!$M16</f>
        <v>25186.637725619046</v>
      </c>
      <c r="Q16" s="45">
        <f>(10^9)*'5'!O16/'9'!$M16</f>
        <v>25186.637725619046</v>
      </c>
      <c r="R16" s="45">
        <f>(10^9)*'5'!P16/'9'!$M16</f>
        <v>-3958924.4699020553</v>
      </c>
      <c r="S16" s="45">
        <f>(10^9)*'5'!Q16/'9'!$M16</f>
        <v>22087.843003545127</v>
      </c>
      <c r="T16" s="45">
        <f>(10^9)*'5'!R16/'9'!$M16</f>
        <v>-3959810.6724901972</v>
      </c>
      <c r="U16" s="45">
        <f>(10^9)*'5'!S16/'9'!$M16</f>
        <v>21201.640415403232</v>
      </c>
      <c r="Z16" s="155"/>
    </row>
    <row r="17" spans="1:26">
      <c r="A17" s="204">
        <v>1982</v>
      </c>
      <c r="B17" s="45">
        <v>232218</v>
      </c>
      <c r="C17" s="45">
        <f>'5'!B17/'9'!B17*10^6</f>
        <v>14399.400563263831</v>
      </c>
      <c r="D17" s="45">
        <f>'5'!C17/'9'!$B17*10^6</f>
        <v>14361.505137413982</v>
      </c>
      <c r="E17" s="45">
        <f>'5'!D17/'9'!$B17*10^6</f>
        <v>14556.580454572861</v>
      </c>
      <c r="F17" s="45">
        <f>'5'!E17/'9'!$B17*10^6</f>
        <v>14518.254398883808</v>
      </c>
      <c r="G17" s="45">
        <f>'5'!F17/'9'!$B17*10^6</f>
        <v>12086.918326744697</v>
      </c>
      <c r="H17" s="45">
        <f>'5'!G17/'9'!$B17*10^6</f>
        <v>12049.02290089485</v>
      </c>
      <c r="I17" s="45">
        <f>'5'!H17/'9'!$B17*10^6</f>
        <v>12244.098218053727</v>
      </c>
      <c r="J17" s="45">
        <f>'5'!I17/'9'!$B17*10^6</f>
        <v>13040.76342057894</v>
      </c>
      <c r="K17" s="45"/>
      <c r="L17" s="204">
        <v>1994</v>
      </c>
      <c r="M17" s="45">
        <v>28960063.75</v>
      </c>
      <c r="N17" s="45">
        <f>(10^9)*'5'!L17/'9'!$M17</f>
        <v>27346.590354104454</v>
      </c>
      <c r="O17" s="45">
        <f>(10^9)*'5'!M17/'9'!$M17</f>
        <v>27346.590354104454</v>
      </c>
      <c r="P17" s="45">
        <f>(10^9)*'5'!N17/'9'!$M17</f>
        <v>26367.1035599844</v>
      </c>
      <c r="Q17" s="45">
        <f>(10^9)*'5'!O17/'9'!$M17</f>
        <v>26367.1035599844</v>
      </c>
      <c r="R17" s="45">
        <f>(10^9)*'5'!P17/'9'!$M17</f>
        <v>-4126339.0174684958</v>
      </c>
      <c r="S17" s="45">
        <f>(10^9)*'5'!Q17/'9'!$M17</f>
        <v>23192.904746281853</v>
      </c>
      <c r="T17" s="45">
        <f>(10^9)*'5'!R17/'9'!$M17</f>
        <v>-4127318.5042626159</v>
      </c>
      <c r="U17" s="45">
        <f>(10^9)*'5'!S17/'9'!$M17</f>
        <v>22213.417952161795</v>
      </c>
      <c r="Z17" s="155"/>
    </row>
    <row r="18" spans="1:26">
      <c r="A18" s="204">
        <v>1983</v>
      </c>
      <c r="B18" s="45">
        <v>234333</v>
      </c>
      <c r="C18" s="45">
        <f>'5'!B18/'9'!B18*10^6</f>
        <v>15507.845672611198</v>
      </c>
      <c r="D18" s="45">
        <f>'5'!C18/'9'!$B18*10^6</f>
        <v>15265.028826499041</v>
      </c>
      <c r="E18" s="45">
        <f>'5'!D18/'9'!$B18*10^6</f>
        <v>15666.167377193993</v>
      </c>
      <c r="F18" s="45">
        <f>'5'!E18/'9'!$B18*10^6</f>
        <v>15423.350531081835</v>
      </c>
      <c r="G18" s="45">
        <f>'5'!F18/'9'!$B18*10^6</f>
        <v>13106.988772388013</v>
      </c>
      <c r="H18" s="45">
        <f>'5'!G18/'9'!$B18*10^6</f>
        <v>12864.171926275856</v>
      </c>
      <c r="I18" s="45">
        <f>'5'!H18/'9'!$B18*10^6</f>
        <v>13265.310476970808</v>
      </c>
      <c r="J18" s="45">
        <f>'5'!I18/'9'!$B18*10^6</f>
        <v>13777.828986954462</v>
      </c>
      <c r="K18" s="45"/>
      <c r="L18" s="204">
        <v>1995</v>
      </c>
      <c r="M18" s="45">
        <v>29263007</v>
      </c>
      <c r="N18" s="45">
        <f>(10^9)*'5'!L18/'9'!$M18</f>
        <v>28417.927111865163</v>
      </c>
      <c r="O18" s="45">
        <f>(10^9)*'5'!M18/'9'!$M18</f>
        <v>28417.927111865163</v>
      </c>
      <c r="P18" s="45">
        <f>(10^9)*'5'!N18/'9'!$M18</f>
        <v>27438.943646495387</v>
      </c>
      <c r="Q18" s="45">
        <f>(10^9)*'5'!O18/'9'!$M18</f>
        <v>27438.943646495387</v>
      </c>
      <c r="R18" s="45">
        <f>(10^9)*'5'!P18/'9'!$M18</f>
        <v>-4258325.4003937459</v>
      </c>
      <c r="S18" s="45">
        <f>(10^9)*'5'!Q18/'9'!$M18</f>
        <v>24131.183784359553</v>
      </c>
      <c r="T18" s="45">
        <f>(10^9)*'5'!R18/'9'!$M18</f>
        <v>-4259304.3838591157</v>
      </c>
      <c r="U18" s="45">
        <f>(10^9)*'5'!S18/'9'!$M18</f>
        <v>23152.20031898977</v>
      </c>
      <c r="Z18" s="155"/>
    </row>
    <row r="19" spans="1:26">
      <c r="A19" s="204">
        <v>1984</v>
      </c>
      <c r="B19" s="45">
        <v>236394</v>
      </c>
      <c r="C19" s="45">
        <f>'5'!B19/'9'!B19*10^6</f>
        <v>17079.959728250291</v>
      </c>
      <c r="D19" s="45">
        <f>'5'!C19/'9'!$B19*10^6</f>
        <v>16903.98233457702</v>
      </c>
      <c r="E19" s="45">
        <f>'5'!D19/'9'!$B19*10^6</f>
        <v>17233.516925133463</v>
      </c>
      <c r="F19" s="45">
        <f>'5'!E19/'9'!$B19*10^6</f>
        <v>17057.539531460188</v>
      </c>
      <c r="G19" s="45">
        <f>'5'!F19/'9'!$B19*10^6</f>
        <v>14548.592603873194</v>
      </c>
      <c r="H19" s="45">
        <f>'5'!G19/'9'!$B19*10^6</f>
        <v>14372.61521019992</v>
      </c>
      <c r="I19" s="45">
        <f>'5'!H19/'9'!$B19*10^6</f>
        <v>14702.149800756366</v>
      </c>
      <c r="J19" s="45">
        <f>'5'!I19/'9'!$B19*10^6</f>
        <v>15214.853168862155</v>
      </c>
      <c r="K19" s="45"/>
      <c r="L19" s="204">
        <v>1996</v>
      </c>
      <c r="M19" s="45">
        <v>29569874.5</v>
      </c>
      <c r="N19" s="45">
        <f>(10^9)*'5'!L19/'9'!$M19</f>
        <v>29077.059491747252</v>
      </c>
      <c r="O19" s="45">
        <f>(10^9)*'5'!M19/'9'!$M19</f>
        <v>29077.059491747252</v>
      </c>
      <c r="P19" s="45">
        <f>(10^9)*'5'!N19/'9'!$M19</f>
        <v>28110.941086341099</v>
      </c>
      <c r="Q19" s="45">
        <f>(10^9)*'5'!O19/'9'!$M19</f>
        <v>28110.941086341099</v>
      </c>
      <c r="R19" s="45">
        <f>(10^9)*'5'!P19/'9'!$M19</f>
        <v>-4397725.6311994158</v>
      </c>
      <c r="S19" s="45">
        <f>(10^9)*'5'!Q19/'9'!$M19</f>
        <v>24650.25680105609</v>
      </c>
      <c r="T19" s="45">
        <f>(10^9)*'5'!R19/'9'!$M19</f>
        <v>-4398691.7496048212</v>
      </c>
      <c r="U19" s="45">
        <f>(10^9)*'5'!S19/'9'!$M19</f>
        <v>23684.138395649938</v>
      </c>
      <c r="Z19" s="155"/>
    </row>
    <row r="20" spans="1:26">
      <c r="A20" s="204">
        <v>1985</v>
      </c>
      <c r="B20" s="45">
        <v>238506</v>
      </c>
      <c r="C20" s="45">
        <f>'5'!B20/'9'!B20*10^6</f>
        <v>18192.414446596733</v>
      </c>
      <c r="D20" s="45">
        <f>'5'!C20/'9'!$B20*10^6</f>
        <v>17964.747218099332</v>
      </c>
      <c r="E20" s="45">
        <f>'5'!D20/'9'!$B20*10^6</f>
        <v>18298.491442563292</v>
      </c>
      <c r="F20" s="45">
        <f>'5'!E20/'9'!$B20*10^6</f>
        <v>18071.243490729794</v>
      </c>
      <c r="G20" s="45">
        <f>'5'!F20/'9'!$B20*10^6</f>
        <v>15508.205244312514</v>
      </c>
      <c r="H20" s="45">
        <f>'5'!G20/'9'!$B20*10^6</f>
        <v>15280.957292479014</v>
      </c>
      <c r="I20" s="45">
        <f>'5'!H20/'9'!$B20*10^6</f>
        <v>15614.701516942969</v>
      </c>
      <c r="J20" s="45">
        <f>'5'!I20/'9'!$B20*10^6</f>
        <v>16002.113154386054</v>
      </c>
      <c r="K20" s="45"/>
      <c r="L20" s="204">
        <v>1997</v>
      </c>
      <c r="M20" s="45">
        <v>29867571.5</v>
      </c>
      <c r="N20" s="45">
        <f>(10^9)*'5'!L20/'9'!$M20</f>
        <v>30363.935012259033</v>
      </c>
      <c r="O20" s="45">
        <f>(10^9)*'5'!M20/'9'!$M20</f>
        <v>30363.935012259033</v>
      </c>
      <c r="P20" s="45">
        <f>(10^9)*'5'!N20/'9'!$M20</f>
        <v>29422.010423579304</v>
      </c>
      <c r="Q20" s="45">
        <f>(10^9)*'5'!O20/'9'!$M20</f>
        <v>29422.010423579304</v>
      </c>
      <c r="R20" s="45">
        <f>(10^9)*'5'!P20/'9'!$M20</f>
        <v>-4603993.4314713199</v>
      </c>
      <c r="S20" s="45">
        <f>(10^9)*'5'!Q20/'9'!$M20</f>
        <v>25729.577645775451</v>
      </c>
      <c r="T20" s="45">
        <f>(10^9)*'5'!R20/'9'!$M20</f>
        <v>-4604935.3560600001</v>
      </c>
      <c r="U20" s="45">
        <f>(10^9)*'5'!S20/'9'!$M20</f>
        <v>24787.653057095718</v>
      </c>
      <c r="Z20" s="155"/>
    </row>
    <row r="21" spans="1:26">
      <c r="A21" s="204">
        <v>1986</v>
      </c>
      <c r="B21" s="45">
        <v>240683</v>
      </c>
      <c r="C21" s="45">
        <f>'5'!B21/'9'!B21*10^6</f>
        <v>19027.517523048991</v>
      </c>
      <c r="D21" s="45">
        <f>'5'!C21/'9'!$B21*10^6</f>
        <v>18695.130108898429</v>
      </c>
      <c r="E21" s="45">
        <f>'5'!D21/'9'!$B21*10^6</f>
        <v>19098.149848555986</v>
      </c>
      <c r="F21" s="45">
        <f>'5'!E21/'9'!$B21*10^6</f>
        <v>18765.346950137733</v>
      </c>
      <c r="G21" s="45">
        <f>'5'!F21/'9'!$B21*10^6</f>
        <v>16180.203836581728</v>
      </c>
      <c r="H21" s="45">
        <f>'5'!G21/'9'!$B21*10^6</f>
        <v>15847.816422431168</v>
      </c>
      <c r="I21" s="45">
        <f>'5'!H21/'9'!$B21*10^6</f>
        <v>16250.836162088723</v>
      </c>
      <c r="J21" s="45">
        <f>'5'!I21/'9'!$B21*10^6</f>
        <v>16638.067499574128</v>
      </c>
      <c r="K21" s="45"/>
      <c r="L21" s="204">
        <v>1998</v>
      </c>
      <c r="M21" s="45">
        <v>30123874.5</v>
      </c>
      <c r="N21" s="45">
        <f>(10^9)*'5'!L21/'9'!$M21</f>
        <v>31222.27852861357</v>
      </c>
      <c r="O21" s="45">
        <f>(10^9)*'5'!M21/'9'!$M21</f>
        <v>31222.27852861357</v>
      </c>
      <c r="P21" s="45">
        <f>(10^9)*'5'!N21/'9'!$M21</f>
        <v>30171.782849513598</v>
      </c>
      <c r="Q21" s="45">
        <f>(10^9)*'5'!O21/'9'!$M21</f>
        <v>30171.782849513598</v>
      </c>
      <c r="R21" s="45">
        <f>(10^9)*'5'!P21/'9'!$M21</f>
        <v>-4880197.7315368243</v>
      </c>
      <c r="S21" s="45">
        <f>(10^9)*'5'!Q21/'9'!$M21</f>
        <v>26310.858518548135</v>
      </c>
      <c r="T21" s="45">
        <f>(10^9)*'5'!R21/'9'!$M21</f>
        <v>-4881248.2272159243</v>
      </c>
      <c r="U21" s="45">
        <f>(10^9)*'5'!S21/'9'!$M21</f>
        <v>25260.36283944816</v>
      </c>
      <c r="Z21" s="155"/>
    </row>
    <row r="22" spans="1:26">
      <c r="A22" s="204">
        <v>1987</v>
      </c>
      <c r="B22" s="45">
        <v>242843</v>
      </c>
      <c r="C22" s="45">
        <f>'5'!B22/'9'!B22*10^6</f>
        <v>19993.164307803807</v>
      </c>
      <c r="D22" s="45">
        <f>'5'!C22/'9'!$B22*10^6</f>
        <v>19812.800863109085</v>
      </c>
      <c r="E22" s="45">
        <f>'5'!D22/'9'!$B22*10^6</f>
        <v>20065.227327944391</v>
      </c>
      <c r="F22" s="45">
        <f>'5'!E22/'9'!$B22*10^6</f>
        <v>19884.863883249669</v>
      </c>
      <c r="G22" s="45">
        <f>'5'!F22/'9'!$B22*10^6</f>
        <v>16985.459741479062</v>
      </c>
      <c r="H22" s="45">
        <f>'5'!G22/'9'!$B22*10^6</f>
        <v>16805.096296784341</v>
      </c>
      <c r="I22" s="45">
        <f>'5'!H22/'9'!$B22*10^6</f>
        <v>17057.522761619646</v>
      </c>
      <c r="J22" s="45">
        <f>'5'!I22/'9'!$B22*10^6</f>
        <v>17689.618395424201</v>
      </c>
      <c r="K22" s="45"/>
      <c r="L22" s="204">
        <v>1999</v>
      </c>
      <c r="M22" s="45">
        <v>30367051.25</v>
      </c>
      <c r="N22" s="45">
        <f>(10^9)*'5'!L22/'9'!$M22</f>
        <v>33191.039581098608</v>
      </c>
      <c r="O22" s="45">
        <f>(10^9)*'5'!M22/'9'!$M22</f>
        <v>33191.039581098608</v>
      </c>
      <c r="P22" s="45">
        <f>(10^9)*'5'!N22/'9'!$M22</f>
        <v>32073.874805345149</v>
      </c>
      <c r="Q22" s="45">
        <f>(10^9)*'5'!O22/'9'!$M22</f>
        <v>32073.874805345149</v>
      </c>
      <c r="R22" s="45">
        <f>(10^9)*'5'!P22/'9'!$M22</f>
        <v>-5068555.5450498341</v>
      </c>
      <c r="S22" s="45">
        <f>(10^9)*'5'!Q22/'9'!$M22</f>
        <v>28089.292996467677</v>
      </c>
      <c r="T22" s="45">
        <f>(10^9)*'5'!R22/'9'!$M22</f>
        <v>-5069672.7098255875</v>
      </c>
      <c r="U22" s="45">
        <f>(10^9)*'5'!S22/'9'!$M22</f>
        <v>26972.128220714218</v>
      </c>
      <c r="Z22" s="155"/>
    </row>
    <row r="23" spans="1:26">
      <c r="A23" s="204">
        <v>1988</v>
      </c>
      <c r="B23" s="45">
        <v>245061</v>
      </c>
      <c r="C23" s="45">
        <f>'5'!B23/'9'!B23*10^6</f>
        <v>21367.741093033979</v>
      </c>
      <c r="D23" s="45">
        <f>'5'!C23/'9'!$B23*10^6</f>
        <v>21355.499243045608</v>
      </c>
      <c r="E23" s="45">
        <f>'5'!D23/'9'!$B23*10^6</f>
        <v>21460.371091279318</v>
      </c>
      <c r="F23" s="45">
        <f>'5'!E23/'9'!$B23*10^6</f>
        <v>21448.129241290946</v>
      </c>
      <c r="G23" s="45">
        <f>'5'!F23/'9'!$B23*10^6</f>
        <v>18166.49732107516</v>
      </c>
      <c r="H23" s="45">
        <f>'5'!G23/'9'!$B23*10^6</f>
        <v>18154.255471086788</v>
      </c>
      <c r="I23" s="45">
        <f>'5'!H23/'9'!$B23*10^6</f>
        <v>18259.127319320498</v>
      </c>
      <c r="J23" s="45">
        <f>'5'!I23/'9'!$B23*10^6</f>
        <v>19147.885628476179</v>
      </c>
      <c r="K23" s="45"/>
      <c r="L23" s="204">
        <v>2000</v>
      </c>
      <c r="M23" s="45">
        <v>30647400.25</v>
      </c>
      <c r="N23" s="45">
        <f>(10^9)*'5'!L23/'9'!$M23</f>
        <v>36089.814828584036</v>
      </c>
      <c r="O23" s="45">
        <f>(10^9)*'5'!M23/'9'!$M23</f>
        <v>36089.814828584036</v>
      </c>
      <c r="P23" s="45">
        <f>(10^9)*'5'!N23/'9'!$M23</f>
        <v>35142.882959542381</v>
      </c>
      <c r="Q23" s="45">
        <f>(10^9)*'5'!O23/'9'!$M23</f>
        <v>35142.882959542381</v>
      </c>
      <c r="R23" s="45">
        <f>(10^9)*'5'!P23/'9'!$M23</f>
        <v>-5352001.7901028981</v>
      </c>
      <c r="S23" s="45">
        <f>(10^9)*'5'!Q23/'9'!$M23</f>
        <v>30701.723223652552</v>
      </c>
      <c r="T23" s="45">
        <f>(10^9)*'5'!R23/'9'!$M23</f>
        <v>-5352948.7219719393</v>
      </c>
      <c r="U23" s="45">
        <f>(10^9)*'5'!S23/'9'!$M23</f>
        <v>29754.791354610898</v>
      </c>
      <c r="V23" s="14" t="e">
        <f>#REF!-#REF!</f>
        <v>#REF!</v>
      </c>
      <c r="W23" s="14" t="e">
        <f>#REF!-#REF!</f>
        <v>#REF!</v>
      </c>
      <c r="X23" s="14" t="e">
        <f>#REF!-#REF!</f>
        <v>#REF!</v>
      </c>
      <c r="Y23" s="14" t="e">
        <f>#REF!-#REF!</f>
        <v>#REF!</v>
      </c>
      <c r="Z23" s="155"/>
    </row>
    <row r="24" spans="1:26">
      <c r="A24" s="204">
        <v>1989</v>
      </c>
      <c r="B24" s="45">
        <v>247387</v>
      </c>
      <c r="C24" s="45">
        <f>'5'!B24/'9'!B24*10^6</f>
        <v>22804.755302420905</v>
      </c>
      <c r="D24" s="45">
        <f>'5'!C24/'9'!$B24*10^6</f>
        <v>22529.882330114357</v>
      </c>
      <c r="E24" s="45">
        <f>'5'!D24/'9'!$B24*10^6</f>
        <v>22905.003092320934</v>
      </c>
      <c r="F24" s="45">
        <f>'5'!E24/'9'!$B24*10^6</f>
        <v>22630.13012001439</v>
      </c>
      <c r="G24" s="45">
        <f>'5'!F24/'9'!$B24*10^6</f>
        <v>19416.137468824149</v>
      </c>
      <c r="H24" s="45">
        <f>'5'!G24/'9'!$B24*10^6</f>
        <v>19141.264496517604</v>
      </c>
      <c r="I24" s="45">
        <f>'5'!H24/'9'!$B24*10^6</f>
        <v>19516.385258724185</v>
      </c>
      <c r="J24" s="45">
        <f>'5'!I24/'9'!$B24*10^6</f>
        <v>20247.223985092183</v>
      </c>
      <c r="K24" s="45"/>
      <c r="L24" s="204">
        <v>2001</v>
      </c>
      <c r="M24" s="45">
        <v>30971364.5</v>
      </c>
      <c r="N24" s="45">
        <f>(10^9)*'5'!L24/'9'!$M24</f>
        <v>36954.555231171682</v>
      </c>
      <c r="O24" s="45">
        <f>(10^9)*'5'!M24/'9'!$M24</f>
        <v>36954.555231171682</v>
      </c>
      <c r="P24" s="45">
        <f>(10^9)*'5'!N24/'9'!$M24</f>
        <v>35914.013410678112</v>
      </c>
      <c r="Q24" s="45">
        <f>(10^9)*'5'!O24/'9'!$M24</f>
        <v>35914.013410678112</v>
      </c>
      <c r="R24" s="45">
        <f>(10^9)*'5'!P24/'9'!$M24</f>
        <v>-5632282.2651226744</v>
      </c>
      <c r="S24" s="45">
        <f>(10^9)*'5'!Q24/'9'!$M24</f>
        <v>31285.318410817843</v>
      </c>
      <c r="T24" s="45">
        <f>(10^9)*'5'!R24/'9'!$M24</f>
        <v>-5633322.8069431689</v>
      </c>
      <c r="U24" s="45">
        <f>(10^9)*'5'!S24/'9'!$M24</f>
        <v>30244.776590324265</v>
      </c>
      <c r="V24" s="14">
        <f t="shared" ref="V24:V35" si="0">N4-R4</f>
        <v>2328345.3073232626</v>
      </c>
      <c r="W24" s="14">
        <f t="shared" ref="W24:W35" si="1">O4-S4</f>
        <v>2328.3453073232613</v>
      </c>
      <c r="X24" s="14">
        <f t="shared" ref="X24:X35" si="2">P4-T4</f>
        <v>2328345.3073232626</v>
      </c>
      <c r="Y24" s="14">
        <f t="shared" ref="Y24:Y35" si="3">Q4-U4</f>
        <v>2328.3453073232631</v>
      </c>
      <c r="Z24" s="155"/>
    </row>
    <row r="25" spans="1:26">
      <c r="A25" s="204">
        <v>1990</v>
      </c>
      <c r="B25" s="45">
        <v>250181</v>
      </c>
      <c r="C25" s="45">
        <f>'5'!B25/'9'!B25*10^6</f>
        <v>23835.143356210105</v>
      </c>
      <c r="D25" s="45">
        <f>'5'!C25/'9'!$B25*10^6</f>
        <v>23453.41972411974</v>
      </c>
      <c r="E25" s="45">
        <f>'5'!D25/'9'!$B25*10^6</f>
        <v>23973.842937713096</v>
      </c>
      <c r="F25" s="45">
        <f>'5'!E25/'9'!$B25*10^6</f>
        <v>23592.119305622731</v>
      </c>
      <c r="G25" s="45">
        <f>'5'!F25/'9'!$B25*10^6</f>
        <v>20283.71459063638</v>
      </c>
      <c r="H25" s="45">
        <f>'5'!G25/'9'!$B25*10^6</f>
        <v>19901.990958546015</v>
      </c>
      <c r="I25" s="45">
        <f>'5'!H25/'9'!$B25*10^6</f>
        <v>20422.414172139372</v>
      </c>
      <c r="J25" s="45">
        <f>'5'!I25/'9'!$B25*10^6</f>
        <v>21209.844072891225</v>
      </c>
      <c r="K25" s="45"/>
      <c r="L25" s="204">
        <v>2002</v>
      </c>
      <c r="M25" s="45">
        <v>31308654.5</v>
      </c>
      <c r="N25" s="45">
        <f>(10^9)*'5'!L25/'9'!$M25</f>
        <v>38126.422839410108</v>
      </c>
      <c r="O25" s="45">
        <f>(10^9)*'5'!M25/'9'!$M25</f>
        <v>38126.422839410108</v>
      </c>
      <c r="P25" s="45">
        <f>(10^9)*'5'!N25/'9'!$M25</f>
        <v>37161.705559719921</v>
      </c>
      <c r="Q25" s="45">
        <f>(10^9)*'5'!O25/'9'!$M25</f>
        <v>37161.705559719921</v>
      </c>
      <c r="R25" s="45">
        <f>(10^9)*'5'!P25/'9'!$M25</f>
        <v>-5822425.6491124518</v>
      </c>
      <c r="S25" s="45">
        <f>(10^9)*'5'!Q25/'9'!$M25</f>
        <v>32265.870767458244</v>
      </c>
      <c r="T25" s="45">
        <f>(10^9)*'5'!R25/'9'!$M25</f>
        <v>-5823390.3663921421</v>
      </c>
      <c r="U25" s="45">
        <f>(10^9)*'5'!S25/'9'!$M25</f>
        <v>31301.153487768057</v>
      </c>
      <c r="V25" s="14">
        <f t="shared" si="0"/>
        <v>2582392.1908370848</v>
      </c>
      <c r="W25" s="14">
        <f t="shared" si="1"/>
        <v>2582.3921908370812</v>
      </c>
      <c r="X25" s="14">
        <f t="shared" si="2"/>
        <v>2582392.1908370848</v>
      </c>
      <c r="Y25" s="14">
        <f t="shared" si="3"/>
        <v>2582.3921908370849</v>
      </c>
      <c r="Z25" s="155"/>
    </row>
    <row r="26" spans="1:26">
      <c r="A26" s="204">
        <v>1991</v>
      </c>
      <c r="B26" s="45">
        <v>253530</v>
      </c>
      <c r="C26" s="45">
        <f>'5'!B26/'9'!B26*10^6</f>
        <v>24289.433203171222</v>
      </c>
      <c r="D26" s="45">
        <f>'5'!C26/'9'!$B26*10^6</f>
        <v>23923.007139194571</v>
      </c>
      <c r="E26" s="45">
        <f>'5'!D26/'9'!$B26*10^6</f>
        <v>24414.073285212795</v>
      </c>
      <c r="F26" s="45">
        <f>'5'!E26/'9'!$B26*10^6</f>
        <v>24047.647221236144</v>
      </c>
      <c r="G26" s="45">
        <f>'5'!F26/'9'!$B26*10^6</f>
        <v>20611.761921666071</v>
      </c>
      <c r="H26" s="45">
        <f>'5'!G26/'9'!$B26*10^6</f>
        <v>20245.335857689428</v>
      </c>
      <c r="I26" s="45">
        <f>'5'!H26/'9'!$B26*10^6</f>
        <v>20736.402003707648</v>
      </c>
      <c r="J26" s="45">
        <f>'5'!I26/'9'!$B26*10^6</f>
        <v>21635.309430836587</v>
      </c>
      <c r="K26" s="45"/>
      <c r="L26" s="204">
        <v>2003</v>
      </c>
      <c r="M26" s="45">
        <v>31603334.25</v>
      </c>
      <c r="N26" s="45">
        <f>(10^9)*'5'!L26/'9'!$M26</f>
        <v>39702.74117516572</v>
      </c>
      <c r="O26" s="45">
        <f>(10^9)*'5'!M26/'9'!$M26</f>
        <v>39702.74117516572</v>
      </c>
      <c r="P26" s="45">
        <f>(10^9)*'5'!N26/'9'!$M26</f>
        <v>38726.135360227061</v>
      </c>
      <c r="Q26" s="45">
        <f>(10^9)*'5'!O26/'9'!$M26</f>
        <v>38726.135360227061</v>
      </c>
      <c r="R26" s="45">
        <f>(10^9)*'5'!P26/'9'!$M26</f>
        <v>-5852966.6375312917</v>
      </c>
      <c r="S26" s="45">
        <f>(10^9)*'5'!Q26/'9'!$M26</f>
        <v>33810.071796459262</v>
      </c>
      <c r="T26" s="45">
        <f>(10^9)*'5'!R26/'9'!$M26</f>
        <v>-5853943.2433462301</v>
      </c>
      <c r="U26" s="45">
        <f>(10^9)*'5'!S26/'9'!$M26</f>
        <v>32833.465981520603</v>
      </c>
      <c r="V26" s="14">
        <f t="shared" si="0"/>
        <v>2675960.3643451193</v>
      </c>
      <c r="W26" s="14">
        <f t="shared" si="1"/>
        <v>2675.9603643451228</v>
      </c>
      <c r="X26" s="14">
        <f t="shared" si="2"/>
        <v>2675960.3643451193</v>
      </c>
      <c r="Y26" s="14">
        <f t="shared" si="3"/>
        <v>2675.9603643451192</v>
      </c>
      <c r="Z26" s="155"/>
    </row>
    <row r="27" spans="1:26">
      <c r="A27" s="204">
        <v>1992</v>
      </c>
      <c r="B27" s="45">
        <v>256922</v>
      </c>
      <c r="C27" s="45">
        <f>'5'!B27/'9'!B27*10^6</f>
        <v>25378.519550680754</v>
      </c>
      <c r="D27" s="45">
        <f>'5'!C27/'9'!$B27*10^6</f>
        <v>24927.409875370737</v>
      </c>
      <c r="E27" s="45">
        <f>'5'!D27/'9'!$B27*10^6</f>
        <v>25499.567962260917</v>
      </c>
      <c r="F27" s="45">
        <f>'5'!E27/'9'!$B27*10^6</f>
        <v>25048.458286950903</v>
      </c>
      <c r="G27" s="45">
        <f>'5'!F27/'9'!$B27*10^6</f>
        <v>21641.198496041601</v>
      </c>
      <c r="H27" s="45">
        <f>'5'!G27/'9'!$B27*10^6</f>
        <v>21189.699597543226</v>
      </c>
      <c r="I27" s="45">
        <f>'5'!H27/'9'!$B27*10^6</f>
        <v>21762.246907621768</v>
      </c>
      <c r="J27" s="45">
        <f>'5'!I27/'9'!$B27*10^6</f>
        <v>22602.579771292454</v>
      </c>
      <c r="K27" s="45"/>
      <c r="L27" s="204">
        <v>2004</v>
      </c>
      <c r="M27" s="45">
        <v>31901246.75</v>
      </c>
      <c r="N27" s="45">
        <f>(10^9)*'5'!L27/'9'!$M27</f>
        <v>41870.557927332418</v>
      </c>
      <c r="O27" s="45">
        <f>(10^9)*'5'!M27/'9'!$M27</f>
        <v>41870.557927332418</v>
      </c>
      <c r="P27" s="45">
        <f>(10^9)*'5'!N27/'9'!$M27</f>
        <v>40968.085361742167</v>
      </c>
      <c r="Q27" s="45">
        <f>(10^9)*'5'!O27/'9'!$M27</f>
        <v>40968.085361742167</v>
      </c>
      <c r="R27" s="45">
        <f>(10^9)*'5'!P27/'9'!$M27</f>
        <v>-6020682.4675276997</v>
      </c>
      <c r="S27" s="45">
        <f>(10^9)*'5'!Q27/'9'!$M27</f>
        <v>35808.004901877393</v>
      </c>
      <c r="T27" s="45">
        <f>(10^9)*'5'!R27/'9'!$M27</f>
        <v>-6021584.9400932901</v>
      </c>
      <c r="U27" s="45">
        <f>(10^9)*'5'!S27/'9'!$M27</f>
        <v>34905.532336287142</v>
      </c>
      <c r="V27" s="14">
        <f t="shared" si="0"/>
        <v>2813572.5689772367</v>
      </c>
      <c r="W27" s="14">
        <f t="shared" si="1"/>
        <v>2813.5725689772371</v>
      </c>
      <c r="X27" s="14">
        <f t="shared" si="2"/>
        <v>2813572.5689772363</v>
      </c>
      <c r="Y27" s="14">
        <f t="shared" si="3"/>
        <v>2813.5725689772371</v>
      </c>
      <c r="Z27" s="155"/>
    </row>
    <row r="28" spans="1:26">
      <c r="A28" s="204">
        <v>1993</v>
      </c>
      <c r="B28" s="45">
        <v>260282</v>
      </c>
      <c r="C28" s="45">
        <f>'5'!B28/'9'!B28*10^6</f>
        <v>26350.650448359855</v>
      </c>
      <c r="D28" s="45">
        <f>'5'!C28/'9'!$B28*10^6</f>
        <v>25751.300512521037</v>
      </c>
      <c r="E28" s="45">
        <f>'5'!D28/'9'!$B28*10^6</f>
        <v>26470.136236850802</v>
      </c>
      <c r="F28" s="45">
        <f>'5'!E28/'9'!$B28*10^6</f>
        <v>25871.1704996888</v>
      </c>
      <c r="G28" s="45">
        <f>'5'!F28/'9'!$B28*10^6</f>
        <v>22495.216726473594</v>
      </c>
      <c r="H28" s="45">
        <f>'5'!G28/'9'!$B28*10^6</f>
        <v>21895.866790634773</v>
      </c>
      <c r="I28" s="45">
        <f>'5'!H28/'9'!$B28*10^6</f>
        <v>22614.702514964538</v>
      </c>
      <c r="J28" s="45">
        <f>'5'!I28/'9'!$B28*10^6</f>
        <v>23339.685418123423</v>
      </c>
      <c r="K28" s="45"/>
      <c r="L28" s="204">
        <v>2005</v>
      </c>
      <c r="M28" s="45">
        <v>32204096</v>
      </c>
      <c r="N28" s="45">
        <f>(10^9)*'5'!L28/'9'!$M28</f>
        <v>44142.583601787795</v>
      </c>
      <c r="O28" s="45">
        <f>(10^9)*'5'!M28/'9'!$M28</f>
        <v>44142.583601787795</v>
      </c>
      <c r="P28" s="45">
        <f>(10^9)*'5'!N28/'9'!$M28</f>
        <v>43239.996551991397</v>
      </c>
      <c r="Q28" s="45">
        <f>(10^9)*'5'!O28/'9'!$M28</f>
        <v>43239.996551991397</v>
      </c>
      <c r="R28" s="45">
        <f>(10^9)*'5'!P28/'9'!$M28</f>
        <v>-6299553.5723157702</v>
      </c>
      <c r="S28" s="45">
        <f>(10^9)*'5'!Q28/'9'!$M28</f>
        <v>37798.887445870241</v>
      </c>
      <c r="T28" s="45">
        <f>(10^9)*'5'!R28/'9'!$M28</f>
        <v>-6300456.1593655664</v>
      </c>
      <c r="U28" s="45">
        <f>(10^9)*'5'!S28/'9'!$M28</f>
        <v>36896.300396073842</v>
      </c>
      <c r="V28" s="14">
        <f t="shared" si="0"/>
        <v>2971115.5532828169</v>
      </c>
      <c r="W28" s="14">
        <f t="shared" si="1"/>
        <v>2971.1155532828197</v>
      </c>
      <c r="X28" s="14">
        <f t="shared" si="2"/>
        <v>2971115.5532828164</v>
      </c>
      <c r="Y28" s="14">
        <f t="shared" si="3"/>
        <v>2971.1155532828143</v>
      </c>
      <c r="Z28" s="155"/>
    </row>
    <row r="29" spans="1:26">
      <c r="A29" s="204">
        <v>1994</v>
      </c>
      <c r="B29" s="45">
        <v>263455</v>
      </c>
      <c r="C29" s="45">
        <f>'5'!B29/'9'!B29*10^6</f>
        <v>27660.131711297945</v>
      </c>
      <c r="D29" s="45">
        <f>'5'!C29/'9'!$B29*10^6</f>
        <v>27129.111233417472</v>
      </c>
      <c r="E29" s="45">
        <f>'5'!D29/'9'!$B29*10^6</f>
        <v>27747.433147975935</v>
      </c>
      <c r="F29" s="45">
        <f>'5'!E29/'9'!$B29*10^6</f>
        <v>27216.412670095466</v>
      </c>
      <c r="G29" s="45">
        <f>'5'!F29/'9'!$B29*10^6</f>
        <v>23653.375339241997</v>
      </c>
      <c r="H29" s="45">
        <f>'5'!G29/'9'!$B29*10^6</f>
        <v>23122.35486136152</v>
      </c>
      <c r="I29" s="45">
        <f>'5'!H29/'9'!$B29*10^6</f>
        <v>23740.676775919987</v>
      </c>
      <c r="J29" s="45">
        <f>'5'!I29/'9'!$B29*10^6</f>
        <v>24553.339279952932</v>
      </c>
      <c r="K29" s="45"/>
      <c r="L29" s="204">
        <v>2006</v>
      </c>
      <c r="M29" s="45">
        <v>32529374.5</v>
      </c>
      <c r="N29" s="45">
        <f>(10^9)*'5'!L29/'9'!$M29</f>
        <v>46006.786881192565</v>
      </c>
      <c r="O29" s="45">
        <f>(10^9)*'5'!M29/'9'!$M29</f>
        <v>46006.786881192565</v>
      </c>
      <c r="P29" s="45">
        <f>(10^9)*'5'!N29/'9'!$M29</f>
        <v>45274.648610289136</v>
      </c>
      <c r="Q29" s="45">
        <f>(10^9)*'5'!O29/'9'!$M29</f>
        <v>45274.648610289136</v>
      </c>
      <c r="R29" s="45">
        <f>(10^9)*'5'!P29/'9'!$M29</f>
        <v>-6696145.6021848805</v>
      </c>
      <c r="S29" s="45">
        <f>(10^9)*'5'!Q29/'9'!$M29</f>
        <v>39264.63449212649</v>
      </c>
      <c r="T29" s="45">
        <f>(10^9)*'5'!R29/'9'!$M29</f>
        <v>-6696877.7404557839</v>
      </c>
      <c r="U29" s="45">
        <f>(10^9)*'5'!S29/'9'!$M29</f>
        <v>38532.49622122306</v>
      </c>
      <c r="V29" s="14">
        <f t="shared" si="0"/>
        <v>3114569.5615877653</v>
      </c>
      <c r="W29" s="14">
        <f t="shared" si="1"/>
        <v>3114.5695615877703</v>
      </c>
      <c r="X29" s="14">
        <f t="shared" si="2"/>
        <v>3114569.5615877658</v>
      </c>
      <c r="Y29" s="14">
        <f t="shared" si="3"/>
        <v>3114.569561587763</v>
      </c>
      <c r="Z29" s="155"/>
    </row>
    <row r="30" spans="1:26">
      <c r="A30" s="204">
        <v>1995</v>
      </c>
      <c r="B30" s="45">
        <v>266588</v>
      </c>
      <c r="C30" s="45">
        <f>'5'!B30/'9'!B30*10^6</f>
        <v>28657.32891202905</v>
      </c>
      <c r="D30" s="45">
        <f>'5'!C30/'9'!$B30*10^6</f>
        <v>28308.476000420123</v>
      </c>
      <c r="E30" s="45">
        <f>'5'!D30/'9'!$B30*10^6</f>
        <v>28762.359896169368</v>
      </c>
      <c r="F30" s="45">
        <f>'5'!E30/'9'!$B30*10^6</f>
        <v>28413.506984560445</v>
      </c>
      <c r="G30" s="45">
        <f>'5'!F30/'9'!$B30*10^6</f>
        <v>24447.46200129038</v>
      </c>
      <c r="H30" s="45">
        <f>'5'!G30/'9'!$B30*10^6</f>
        <v>24098.609089681453</v>
      </c>
      <c r="I30" s="45">
        <f>'5'!H30/'9'!$B30*10^6</f>
        <v>24552.117874773059</v>
      </c>
      <c r="J30" s="45">
        <f>'5'!I30/'9'!$B30*10^6</f>
        <v>25585.547736582292</v>
      </c>
      <c r="K30" s="45"/>
      <c r="L30" s="120">
        <v>2007</v>
      </c>
      <c r="M30" s="45">
        <v>32848719.5</v>
      </c>
      <c r="N30" s="45">
        <f>(10^9)*'5'!L30/'9'!$M30</f>
        <v>48028.112633127137</v>
      </c>
      <c r="O30" s="45">
        <f>(10^9)*'5'!M30/'9'!$M30</f>
        <v>48028.112633127137</v>
      </c>
      <c r="P30" s="45">
        <f>(10^9)*'5'!N30/'9'!$M30</f>
        <v>47321.144436086768</v>
      </c>
      <c r="Q30" s="45">
        <f>(10^9)*'5'!O30/'9'!$M30</f>
        <v>47321.144436086768</v>
      </c>
      <c r="R30" s="45">
        <f>(10^9)*'5'!P30/'9'!$M30</f>
        <v>-7122571.0335527686</v>
      </c>
      <c r="S30" s="45">
        <f>(10^9)*'5'!Q30/'9'!$M30</f>
        <v>40857.51348694125</v>
      </c>
      <c r="T30" s="45">
        <f>(10^9)*'5'!R30/'9'!$M30</f>
        <v>-7123278.0017498098</v>
      </c>
      <c r="U30" s="45">
        <f>(10^9)*'5'!S30/'9'!$M30</f>
        <v>40150.545289900874</v>
      </c>
      <c r="V30" s="14">
        <f t="shared" si="0"/>
        <v>3251436.5434461515</v>
      </c>
      <c r="W30" s="14">
        <f t="shared" si="1"/>
        <v>3251.436543446147</v>
      </c>
      <c r="X30" s="14">
        <f t="shared" si="2"/>
        <v>3251436.5434461515</v>
      </c>
      <c r="Y30" s="14">
        <f t="shared" si="3"/>
        <v>3251.4365434461579</v>
      </c>
      <c r="Z30" s="155"/>
    </row>
    <row r="31" spans="1:26">
      <c r="A31" s="204">
        <v>1996</v>
      </c>
      <c r="B31" s="45">
        <v>269714</v>
      </c>
      <c r="C31" s="45">
        <f>'5'!B31/'9'!B31*10^6</f>
        <v>29932.076199233263</v>
      </c>
      <c r="D31" s="45">
        <f>'5'!C31/'9'!$B31*10^6</f>
        <v>29716.662835447922</v>
      </c>
      <c r="E31" s="45">
        <f>'5'!D31/'9'!$B31*10^6</f>
        <v>30046.641998561441</v>
      </c>
      <c r="F31" s="45">
        <f>'5'!E31/'9'!$B31*10^6</f>
        <v>29831.228634776093</v>
      </c>
      <c r="G31" s="45">
        <f>'5'!F31/'9'!$B31*10^6</f>
        <v>25574.497430611686</v>
      </c>
      <c r="H31" s="45">
        <f>'5'!G31/'9'!$B31*10^6</f>
        <v>25359.084066826341</v>
      </c>
      <c r="I31" s="45">
        <f>'5'!H31/'9'!$B31*10^6</f>
        <v>25689.06322993986</v>
      </c>
      <c r="J31" s="45">
        <f>'5'!I31/'9'!$B31*10^6</f>
        <v>26834.35046011701</v>
      </c>
      <c r="K31" s="45"/>
      <c r="L31" s="120">
        <v>2008</v>
      </c>
      <c r="M31" s="45">
        <v>33199417.25</v>
      </c>
      <c r="N31" s="45">
        <f>(10^9)*'5'!L31/'9'!$M31</f>
        <v>49911.779701494612</v>
      </c>
      <c r="O31" s="45">
        <f>(10^9)*'5'!M31/'9'!$M31</f>
        <v>49911.779701494612</v>
      </c>
      <c r="P31" s="45">
        <f>(10^9)*'5'!N31/'9'!$M31</f>
        <v>49178.453576621148</v>
      </c>
      <c r="Q31" s="45">
        <f>(10^9)*'5'!O31/'9'!$M31</f>
        <v>49178.453576621148</v>
      </c>
      <c r="R31" s="45">
        <f>(10^9)*'5'!P31/'9'!$M31</f>
        <v>-7680464.8732200265</v>
      </c>
      <c r="S31" s="45">
        <f>(10^9)*'5'!Q31/'9'!$M31</f>
        <v>42181.403048573098</v>
      </c>
      <c r="T31" s="45">
        <f>(10^9)*'5'!R31/'9'!$M31</f>
        <v>-7681198.1993448995</v>
      </c>
      <c r="U31" s="45">
        <f>(10^9)*'5'!S31/'9'!$M31</f>
        <v>41448.076923699628</v>
      </c>
      <c r="V31" s="14">
        <f t="shared" si="0"/>
        <v>3442726.216158465</v>
      </c>
      <c r="W31" s="14">
        <f t="shared" si="1"/>
        <v>3442.7262161584622</v>
      </c>
      <c r="X31" s="14">
        <f t="shared" si="2"/>
        <v>3442726.216158465</v>
      </c>
      <c r="Y31" s="14">
        <f t="shared" si="3"/>
        <v>3442.7262161584622</v>
      </c>
      <c r="Z31" s="155"/>
    </row>
    <row r="32" spans="1:26">
      <c r="A32" s="204">
        <v>1997</v>
      </c>
      <c r="B32" s="45">
        <v>272958</v>
      </c>
      <c r="C32" s="45">
        <f>'5'!B32/'9'!B32*10^6</f>
        <v>31424.61477589959</v>
      </c>
      <c r="D32" s="45">
        <f>'5'!C32/'9'!$B32*10^6</f>
        <v>31382.117395350197</v>
      </c>
      <c r="E32" s="45">
        <f>'5'!D32/'9'!$B32*10^6</f>
        <v>31509.975893727242</v>
      </c>
      <c r="F32" s="45">
        <f>'5'!E32/'9'!$B32*10^6</f>
        <v>31467.478513177848</v>
      </c>
      <c r="G32" s="45">
        <f>'5'!F32/'9'!$B32*10^6</f>
        <v>26883.989478234747</v>
      </c>
      <c r="H32" s="45">
        <f>'5'!G32/'9'!$B32*10^6</f>
        <v>26841.492097685357</v>
      </c>
      <c r="I32" s="45">
        <f>'5'!H32/'9'!$B32*10^6</f>
        <v>26969.350596062395</v>
      </c>
      <c r="J32" s="45">
        <f>'5'!I32/'9'!$B32*10^6</f>
        <v>28254.530000952527</v>
      </c>
      <c r="K32" s="45"/>
      <c r="L32" s="120">
        <v>2009</v>
      </c>
      <c r="M32" s="45">
        <v>33581074.25</v>
      </c>
      <c r="N32" s="45">
        <f>(10^9)*'5'!L32/'9'!$M32</f>
        <v>46792.249357538043</v>
      </c>
      <c r="O32" s="45">
        <f>(10^9)*'5'!M32/'9'!$M32</f>
        <v>46792.249357538043</v>
      </c>
      <c r="P32" s="45">
        <f>(10^9)*'5'!N32/'9'!$M32</f>
        <v>45986.557443140751</v>
      </c>
      <c r="Q32" s="45">
        <f>(10^9)*'5'!O32/'9'!$M32</f>
        <v>45986.557443140751</v>
      </c>
      <c r="R32" s="45">
        <f>(10^9)*'5'!P32/'9'!$M32</f>
        <v>-7942499.5166734438</v>
      </c>
      <c r="S32" s="45">
        <f>(10^9)*'5'!Q32/'9'!$M32</f>
        <v>38802.957591507067</v>
      </c>
      <c r="T32" s="45">
        <f>(10^9)*'5'!R32/'9'!$M32</f>
        <v>-7943305.2085878402</v>
      </c>
      <c r="U32" s="45">
        <f>(10^9)*'5'!S32/'9'!$M32</f>
        <v>37997.265677109775</v>
      </c>
      <c r="V32" s="14">
        <f t="shared" si="0"/>
        <v>3666226.6871289858</v>
      </c>
      <c r="W32" s="14">
        <f t="shared" si="1"/>
        <v>3666.2266871289867</v>
      </c>
      <c r="X32" s="14">
        <f t="shared" si="2"/>
        <v>3666226.6871289853</v>
      </c>
      <c r="Y32" s="14">
        <f t="shared" si="3"/>
        <v>3666.2266871289867</v>
      </c>
      <c r="Z32" s="155"/>
    </row>
    <row r="33" spans="1:26">
      <c r="A33" s="204">
        <v>1998</v>
      </c>
      <c r="B33" s="45">
        <v>276154</v>
      </c>
      <c r="C33" s="45">
        <f>'5'!B33/'9'!B33*10^6</f>
        <v>32817.920435698921</v>
      </c>
      <c r="D33" s="45">
        <f>'5'!C33/'9'!$B33*10^6</f>
        <v>33018.17102051754</v>
      </c>
      <c r="E33" s="45">
        <f>'5'!D33/'9'!$B33*10^6</f>
        <v>32880.928757142756</v>
      </c>
      <c r="F33" s="45">
        <f>'5'!E33/'9'!$B33*10^6</f>
        <v>33081.179341961368</v>
      </c>
      <c r="G33" s="45">
        <f>'5'!F33/'9'!$B33*10^6</f>
        <v>28075.276838285885</v>
      </c>
      <c r="H33" s="45">
        <f>'5'!G33/'9'!$B33*10^6</f>
        <v>28275.165306314593</v>
      </c>
      <c r="I33" s="45">
        <f>'5'!H33/'9'!$B33*10^6</f>
        <v>28138.285159729716</v>
      </c>
      <c r="J33" s="45">
        <f>'5'!I33/'9'!$B33*10^6</f>
        <v>29672.211881776111</v>
      </c>
      <c r="K33" s="45"/>
      <c r="L33" s="120">
        <v>2010</v>
      </c>
      <c r="M33" s="45">
        <v>33958334.25</v>
      </c>
      <c r="N33" s="45">
        <f>(10^9)*'5'!L33/'9'!$M33</f>
        <v>49061.50542410661</v>
      </c>
      <c r="O33" s="45">
        <f>(10^9)*'5'!M33/'9'!$M33</f>
        <v>49061.50542410661</v>
      </c>
      <c r="P33" s="45">
        <f>(10^9)*'5'!N33/'9'!$M33</f>
        <v>48091.846554575925</v>
      </c>
      <c r="Q33" s="45">
        <f>(10^9)*'5'!O33/'9'!$M33</f>
        <v>48091.846554575925</v>
      </c>
      <c r="R33" s="45">
        <f>(10^9)*'5'!P33/'9'!$M33</f>
        <v>-7875267.115023463</v>
      </c>
      <c r="S33" s="45">
        <f>(10^9)*'5'!Q33/'9'!$M33</f>
        <v>41137.176803659022</v>
      </c>
      <c r="T33" s="45">
        <f>(10^9)*'5'!R33/'9'!$M33</f>
        <v>-7876236.773892995</v>
      </c>
      <c r="U33" s="45">
        <f>(10^9)*'5'!S33/'9'!$M33</f>
        <v>40167.517934128358</v>
      </c>
      <c r="V33" s="14">
        <f t="shared" si="0"/>
        <v>3856384.3262030459</v>
      </c>
      <c r="W33" s="14">
        <f t="shared" si="1"/>
        <v>3856.3843262030532</v>
      </c>
      <c r="X33" s="14">
        <f t="shared" si="2"/>
        <v>3856384.3262030459</v>
      </c>
      <c r="Y33" s="14">
        <f t="shared" si="3"/>
        <v>3856.3843262030459</v>
      </c>
      <c r="Z33" s="155"/>
    </row>
    <row r="34" spans="1:26">
      <c r="A34" s="204">
        <v>1999</v>
      </c>
      <c r="B34" s="45">
        <v>279328</v>
      </c>
      <c r="C34" s="45">
        <f>'5'!B34/'9'!B34*10^6</f>
        <v>34478.104593882468</v>
      </c>
      <c r="D34" s="45">
        <f>'5'!C34/'9'!$B34*10^6</f>
        <v>34596.603276434871</v>
      </c>
      <c r="E34" s="45">
        <f>'5'!D34/'9'!$B34*10^6</f>
        <v>34569.395119715889</v>
      </c>
      <c r="F34" s="45">
        <f>'5'!E34/'9'!$B34*10^6</f>
        <v>34688.251804330393</v>
      </c>
      <c r="G34" s="45">
        <f>'5'!F34/'9'!$B34*10^6</f>
        <v>29469.655745217093</v>
      </c>
      <c r="H34" s="45">
        <f>'5'!G34/'9'!$B34*10^6</f>
        <v>29588.512429831593</v>
      </c>
      <c r="I34" s="45">
        <f>'5'!H34/'9'!$B34*10^6</f>
        <v>29561.304273112608</v>
      </c>
      <c r="J34" s="45">
        <f>'5'!I34/'9'!$B34*10^6</f>
        <v>31023.02669263375</v>
      </c>
      <c r="K34" s="45"/>
      <c r="L34" s="120">
        <v>2011</v>
      </c>
      <c r="M34" s="45">
        <v>34298450.75</v>
      </c>
      <c r="N34" s="45">
        <f>(10^9)*'5'!L34/'9'!$M34</f>
        <v>51724.289616783928</v>
      </c>
      <c r="O34" s="45">
        <f>(10^9)*'5'!M34/'9'!$M34</f>
        <v>51724.289616783928</v>
      </c>
      <c r="P34" s="45">
        <f>(10^9)*'5'!N34/'9'!$M34</f>
        <v>50747.306713263133</v>
      </c>
      <c r="Q34" s="45">
        <f>(10^9)*'5'!O34/'9'!$M34</f>
        <v>50747.306713263133</v>
      </c>
      <c r="R34" s="45">
        <f>(10^9)*'5'!P34/'9'!$M34</f>
        <v>-8113659.0987276584</v>
      </c>
      <c r="S34" s="45">
        <f>(10^9)*'5'!Q34/'9'!$M34</f>
        <v>43558.906228439497</v>
      </c>
      <c r="T34" s="45">
        <f>(10^9)*'5'!R34/'9'!$M34</f>
        <v>-8114636.0816311799</v>
      </c>
      <c r="U34" s="45">
        <f>(10^9)*'5'!S34/'9'!$M34</f>
        <v>42581.923324918695</v>
      </c>
      <c r="V34" s="14">
        <f t="shared" si="0"/>
        <v>3842554.4901494612</v>
      </c>
      <c r="W34" s="14">
        <f t="shared" si="1"/>
        <v>3842.554490149465</v>
      </c>
      <c r="X34" s="14">
        <f t="shared" si="2"/>
        <v>3842554.4901494612</v>
      </c>
      <c r="Y34" s="14">
        <f t="shared" si="3"/>
        <v>3842.5544901494613</v>
      </c>
      <c r="Z34" s="155"/>
    </row>
    <row r="35" spans="1:26">
      <c r="A35" s="204">
        <v>2000</v>
      </c>
      <c r="B35" s="45">
        <v>282398</v>
      </c>
      <c r="C35" s="45">
        <f>'5'!B35/'9'!B35*10^6</f>
        <v>36304.435583821411</v>
      </c>
      <c r="D35" s="45">
        <f>'5'!C35/'9'!$B35*10^6</f>
        <v>36646.15188492836</v>
      </c>
      <c r="E35" s="45">
        <f>'5'!D35/'9'!$B35*10^6</f>
        <v>36428.728248783635</v>
      </c>
      <c r="F35" s="45">
        <f>'5'!E35/'9'!$B35*10^6</f>
        <v>36770.444549890577</v>
      </c>
      <c r="G35" s="45">
        <f>'5'!F35/'9'!$B35*10^6</f>
        <v>30953.122897470948</v>
      </c>
      <c r="H35" s="45">
        <f>'5'!G35/'9'!$B35*10^6</f>
        <v>31294.839198577894</v>
      </c>
      <c r="I35" s="45">
        <f>'5'!H35/'9'!$B35*10^6</f>
        <v>31077.061452276575</v>
      </c>
      <c r="J35" s="45">
        <f>'5'!I35/'9'!$B35*10^6</f>
        <v>32889.043123534866</v>
      </c>
      <c r="K35" s="45"/>
      <c r="L35" s="120">
        <v>2012</v>
      </c>
      <c r="M35" s="45">
        <v>34664840.25</v>
      </c>
      <c r="N35" s="45">
        <f>(10^9)*'5'!L35/'9'!$M35</f>
        <v>52710.527059186425</v>
      </c>
      <c r="O35" s="45">
        <f>(10^9)*'5'!M35/'9'!$M35</f>
        <v>52710.527059186425</v>
      </c>
      <c r="P35" s="45">
        <f>(10^9)*'5'!N35/'9'!$M35</f>
        <v>51775.227782854134</v>
      </c>
      <c r="Q35" s="45">
        <f>(10^9)*'5'!O35/'9'!$M35</f>
        <v>51775.227782854134</v>
      </c>
      <c r="R35" s="45">
        <f>(10^9)*'5'!P35/'9'!$M35</f>
        <v>-8431621.0861522723</v>
      </c>
      <c r="S35" s="45">
        <f>(10^9)*'5'!Q35/'9'!$M35</f>
        <v>44226.195445974976</v>
      </c>
      <c r="T35" s="45">
        <f>(10^9)*'5'!R35/'9'!$M35</f>
        <v>-8432556.3854286037</v>
      </c>
      <c r="U35" s="45">
        <f>(10^9)*'5'!S35/'9'!$M35</f>
        <v>43290.89616964267</v>
      </c>
      <c r="V35" s="14">
        <f t="shared" si="0"/>
        <v>3928696.2999080545</v>
      </c>
      <c r="W35" s="14">
        <f t="shared" si="1"/>
        <v>3928.696299908057</v>
      </c>
      <c r="X35" s="14">
        <f t="shared" si="2"/>
        <v>3928696.2999080545</v>
      </c>
      <c r="Y35" s="14">
        <f t="shared" si="3"/>
        <v>3928.6962999080533</v>
      </c>
      <c r="Z35" s="155"/>
    </row>
    <row r="36" spans="1:26" s="42" customFormat="1">
      <c r="A36" s="204">
        <v>2001</v>
      </c>
      <c r="B36" s="45">
        <v>285225</v>
      </c>
      <c r="C36" s="45">
        <f>'5'!B36/'9'!B36*10^6</f>
        <v>37099.833464808486</v>
      </c>
      <c r="D36" s="45">
        <f>'5'!C36/'9'!$B36*10^6</f>
        <v>37496.713121220091</v>
      </c>
      <c r="E36" s="45">
        <f>'5'!D36/'9'!$B36*10^6</f>
        <v>37270.926461565432</v>
      </c>
      <c r="F36" s="45">
        <f>'5'!E36/'9'!$B36*10^6</f>
        <v>37667.45551757385</v>
      </c>
      <c r="G36" s="45">
        <f>'5'!F36/'9'!$B36*10^6</f>
        <v>31491.980015777015</v>
      </c>
      <c r="H36" s="45">
        <f>'5'!G36/'9'!$B36*10^6</f>
        <v>31888.509071785433</v>
      </c>
      <c r="I36" s="45">
        <f>'5'!H36/'9'!$B36*10^6</f>
        <v>31663.073012533965</v>
      </c>
      <c r="J36" s="45">
        <f>'5'!I36/'9'!$B36*10^6</f>
        <v>33530.020159523185</v>
      </c>
      <c r="K36" s="45"/>
      <c r="L36" s="120">
        <v>2013</v>
      </c>
      <c r="M36" s="45">
        <v>35034038.75</v>
      </c>
      <c r="N36" s="45">
        <f>(10^9)*'5'!L36/'9'!$M36</f>
        <v>54297.108408604465</v>
      </c>
      <c r="O36" s="45">
        <f>(10^9)*'5'!M36/'9'!$M36</f>
        <v>54297.108408604465</v>
      </c>
      <c r="P36" s="45">
        <f>(10^9)*'5'!N36/'9'!$M36</f>
        <v>53470.141235143768</v>
      </c>
      <c r="Q36" s="45">
        <f>(10^9)*'5'!O36/'9'!$M36</f>
        <v>53470.141235143768</v>
      </c>
      <c r="R36" s="45">
        <f>(10^9)*'5'!P36/'9'!$M36</f>
        <v>-8765011.5132672228</v>
      </c>
      <c r="S36" s="45">
        <f>(10^9)*'5'!Q36/'9'!$M36</f>
        <v>45477.799786928648</v>
      </c>
      <c r="T36" s="45">
        <f>(10^9)*'5'!R36/'9'!$M36</f>
        <v>-8765838.4804406837</v>
      </c>
      <c r="U36" s="45">
        <f>(10^9)*'5'!S36/'9'!$M36</f>
        <v>44650.832613467952</v>
      </c>
      <c r="V36" s="14"/>
      <c r="W36" s="14"/>
      <c r="X36" s="14"/>
      <c r="Y36" s="14"/>
      <c r="Z36" s="155"/>
    </row>
    <row r="37" spans="1:26">
      <c r="A37" s="204">
        <v>2002</v>
      </c>
      <c r="B37" s="45">
        <v>287955</v>
      </c>
      <c r="C37" s="45">
        <f>'5'!B37/'9'!B37*10^6</f>
        <v>37979.545415082212</v>
      </c>
      <c r="D37" s="45">
        <f>'5'!C37/'9'!$B37*10^6</f>
        <v>38232.015419075899</v>
      </c>
      <c r="E37" s="45">
        <f>'5'!D37/'9'!$B37*10^6</f>
        <v>38136.861662412535</v>
      </c>
      <c r="F37" s="45">
        <f>'5'!E37/'9'!$B37*10^6</f>
        <v>38388.984389922036</v>
      </c>
      <c r="G37" s="45">
        <f>'5'!F37/'9'!$B37*10^6</f>
        <v>32221.701307495965</v>
      </c>
      <c r="H37" s="45">
        <f>'5'!G37/'9'!$B37*10^6</f>
        <v>32474.171311489641</v>
      </c>
      <c r="I37" s="45">
        <f>'5'!H37/'9'!$B37*10^6</f>
        <v>32379.017554826278</v>
      </c>
      <c r="J37" s="45">
        <f>'5'!I37/'9'!$B37*10^6</f>
        <v>33930.301609626506</v>
      </c>
      <c r="K37" s="45"/>
      <c r="L37" s="120">
        <v>2014</v>
      </c>
      <c r="M37" s="45">
        <v>35392413.5</v>
      </c>
      <c r="N37" s="45">
        <f>(10^9)*'5'!L37/'9'!$M37</f>
        <v>56364.960812858939</v>
      </c>
      <c r="O37" s="45">
        <f>(10^9)*'5'!M37/'9'!$M37</f>
        <v>56364.960812858939</v>
      </c>
      <c r="P37" s="45">
        <f>(10^9)*'5'!N37/'9'!$M37</f>
        <v>55454.172403359837</v>
      </c>
      <c r="Q37" s="45">
        <f>(10^9)*'5'!O37/'9'!$M37</f>
        <v>55454.172403359837</v>
      </c>
      <c r="R37" s="45">
        <f>(10^9)*'5'!P37/'9'!$M37</f>
        <v>-9075761.6176698431</v>
      </c>
      <c r="S37" s="45">
        <f>(10^9)*'5'!Q37/'9'!$M37</f>
        <v>47232.834234376256</v>
      </c>
      <c r="T37" s="45">
        <f>(10^9)*'5'!R37/'9'!$M37</f>
        <v>-9076672.4060793426</v>
      </c>
      <c r="U37" s="45">
        <f>(10^9)*'5'!S37/'9'!$M37</f>
        <v>46322.045824877125</v>
      </c>
      <c r="V37" s="14">
        <f t="shared" ref="V37:Y42" si="4">N16-R16</f>
        <v>3984997.3102158164</v>
      </c>
      <c r="W37" s="14">
        <f t="shared" si="4"/>
        <v>3984.9973102158219</v>
      </c>
      <c r="X37" s="14">
        <f t="shared" si="4"/>
        <v>3984997.3102158164</v>
      </c>
      <c r="Y37" s="14">
        <f t="shared" si="4"/>
        <v>3984.9973102158147</v>
      </c>
      <c r="Z37" s="155"/>
    </row>
    <row r="38" spans="1:26">
      <c r="A38" s="204">
        <v>2003</v>
      </c>
      <c r="B38" s="45">
        <v>290626</v>
      </c>
      <c r="C38" s="45">
        <f>'5'!B38/'9'!B38*10^6</f>
        <v>39425.928857018989</v>
      </c>
      <c r="D38" s="45">
        <f>'5'!C38/'9'!$B38*10^6</f>
        <v>39473.06847976437</v>
      </c>
      <c r="E38" s="45">
        <f>'5'!D38/'9'!$B38*10^6</f>
        <v>39626.874402152593</v>
      </c>
      <c r="F38" s="45">
        <f>'5'!E38/'9'!$B38*10^6</f>
        <v>39674.014024897973</v>
      </c>
      <c r="G38" s="45">
        <f>'5'!F38/'9'!$B38*10^6</f>
        <v>33511.110499404735</v>
      </c>
      <c r="H38" s="45">
        <f>'5'!G38/'9'!$B38*10^6</f>
        <v>33557.906037312554</v>
      </c>
      <c r="I38" s="45">
        <f>'5'!H38/'9'!$B38*10^6</f>
        <v>33711.711959700784</v>
      </c>
      <c r="J38" s="45">
        <f>'5'!I38/'9'!$B38*10^6</f>
        <v>35188.868167335335</v>
      </c>
      <c r="K38" s="45"/>
      <c r="L38" s="13">
        <v>2015</v>
      </c>
      <c r="M38" s="45">
        <v>35678065</v>
      </c>
      <c r="N38" s="45">
        <f>(10^9)*'5'!L38/'9'!$M38</f>
        <v>55788.871958162519</v>
      </c>
      <c r="O38" s="45">
        <f>(10^9)*'5'!M38/'9'!$M38</f>
        <v>55788.871958162519</v>
      </c>
      <c r="P38" s="45">
        <f>(10^9)*'5'!N38/'9'!$M38</f>
        <v>54934.229196566572</v>
      </c>
      <c r="Q38" s="45">
        <f>(10^9)*'5'!O38/'9'!$M38</f>
        <v>54934.229196566572</v>
      </c>
      <c r="R38" s="45">
        <f>(10^9)*'5'!P38/'9'!$M38</f>
        <v>-9538985.9567776453</v>
      </c>
      <c r="S38" s="45">
        <f>(10^9)*'5'!Q38/'9'!$M38</f>
        <v>46194.097129426729</v>
      </c>
      <c r="T38" s="45">
        <f>(10^9)*'5'!R38/'9'!$M38</f>
        <v>-9539840.5995392408</v>
      </c>
      <c r="U38" s="45">
        <f>(10^9)*'5'!S38/'9'!$M38</f>
        <v>45339.454367830767</v>
      </c>
      <c r="V38" s="14">
        <f t="shared" si="4"/>
        <v>4153685.6078226003</v>
      </c>
      <c r="W38" s="14">
        <f t="shared" si="4"/>
        <v>4153.685607822601</v>
      </c>
      <c r="X38" s="14">
        <f t="shared" si="4"/>
        <v>4153685.6078226003</v>
      </c>
      <c r="Y38" s="14">
        <f t="shared" si="4"/>
        <v>4153.6856078226047</v>
      </c>
    </row>
    <row r="39" spans="1:26">
      <c r="A39" s="204">
        <v>2004</v>
      </c>
      <c r="B39" s="45">
        <v>293262</v>
      </c>
      <c r="C39" s="45">
        <f>'5'!B39/'9'!B39*10^6</f>
        <v>41647.741609891498</v>
      </c>
      <c r="D39" s="45">
        <f>'5'!C39/'9'!$B39*10^6</f>
        <v>41723.100844978209</v>
      </c>
      <c r="E39" s="45">
        <f>'5'!D39/'9'!$B39*10^6</f>
        <v>41914.397364813711</v>
      </c>
      <c r="F39" s="45">
        <f>'5'!E39/'9'!$B39*10^6</f>
        <v>41989.756599900429</v>
      </c>
      <c r="G39" s="45">
        <f>'5'!F39/'9'!$B39*10^6</f>
        <v>35435.54909944009</v>
      </c>
      <c r="H39" s="45">
        <f>'5'!G39/'9'!$B39*10^6</f>
        <v>35510.908334526801</v>
      </c>
      <c r="I39" s="45">
        <f>'5'!H39/'9'!$B39*10^6</f>
        <v>35702.20485436231</v>
      </c>
      <c r="J39" s="45">
        <f>'5'!I39/'9'!$B39*10^6</f>
        <v>37447.742973859553</v>
      </c>
      <c r="K39" s="45"/>
      <c r="L39" s="120">
        <v>2016</v>
      </c>
      <c r="M39" s="45">
        <v>36051758.25</v>
      </c>
      <c r="N39" s="45">
        <f>(10^9)*'5'!L39/'9'!$M39</f>
        <v>56258.643085736323</v>
      </c>
      <c r="O39" s="45">
        <f>(10^9)*'5'!M39/'9'!$M39</f>
        <v>56258.643085736323</v>
      </c>
      <c r="P39" s="45">
        <f>(10^9)*'5'!N39/'9'!$M39</f>
        <v>55581.311349773074</v>
      </c>
      <c r="Q39" s="45">
        <f>(10^9)*'5'!O39/'9'!$M39</f>
        <v>55581.311349773074</v>
      </c>
      <c r="R39" s="45">
        <f>(10^9)*'5'!P39/'9'!$M39</f>
        <v>-9707093.1901081409</v>
      </c>
      <c r="S39" s="45">
        <f>(10^9)*'5'!Q39/'9'!$M39</f>
        <v>46495.291252542447</v>
      </c>
      <c r="T39" s="45">
        <f>(10^9)*'5'!R39/'9'!$M39</f>
        <v>-9707770.5218441039</v>
      </c>
      <c r="U39" s="45">
        <f>(10^9)*'5'!S39/'9'!$M39</f>
        <v>45817.959516579205</v>
      </c>
      <c r="V39" s="14">
        <f t="shared" si="4"/>
        <v>4286743.3275056109</v>
      </c>
      <c r="W39" s="14">
        <f t="shared" si="4"/>
        <v>4286.7433275056101</v>
      </c>
      <c r="X39" s="14">
        <f t="shared" si="4"/>
        <v>4286743.3275056109</v>
      </c>
      <c r="Y39" s="14">
        <f t="shared" si="4"/>
        <v>4286.7433275056173</v>
      </c>
    </row>
    <row r="40" spans="1:26">
      <c r="A40" s="204">
        <v>2005</v>
      </c>
      <c r="B40" s="45">
        <v>295993</v>
      </c>
      <c r="C40" s="45">
        <f>'5'!B40/'9'!B40*10^6</f>
        <v>44043.609139405322</v>
      </c>
      <c r="D40" s="45">
        <f>'5'!C40/'9'!$B40*10^6</f>
        <v>44229.762190322072</v>
      </c>
      <c r="E40" s="45">
        <f>'5'!D40/'9'!$B40*10^6</f>
        <v>44307.128884804712</v>
      </c>
      <c r="F40" s="45">
        <f>'5'!E40/'9'!$B40*10^6</f>
        <v>44493.281935721454</v>
      </c>
      <c r="G40" s="45">
        <f>'5'!F40/'9'!$B40*10^6</f>
        <v>37384.667880659341</v>
      </c>
      <c r="H40" s="45">
        <f>'5'!G40/'9'!$B40*10^6</f>
        <v>37570.820931576083</v>
      </c>
      <c r="I40" s="45">
        <f>'5'!H40/'9'!$B40*10^6</f>
        <v>37648.187626058723</v>
      </c>
      <c r="J40" s="45">
        <f>'5'!I40/'9'!$B40*10^6</f>
        <v>40542.174983867859</v>
      </c>
      <c r="K40" s="45"/>
      <c r="L40" s="13">
        <v>2017</v>
      </c>
      <c r="M40" s="45">
        <v>36489211.5</v>
      </c>
      <c r="N40" s="45">
        <f>(10^9)*'5'!L40/'9'!$M40</f>
        <v>58688.799016662764</v>
      </c>
      <c r="O40" s="45">
        <f>(10^9)*'5'!M40/'9'!$M40</f>
        <v>58688.799016662764</v>
      </c>
      <c r="P40" s="45">
        <f>(10^9)*'5'!N40/'9'!$M40</f>
        <v>58055.187079063078</v>
      </c>
      <c r="Q40" s="45">
        <f>(10^9)*'5'!O40/'9'!$M40</f>
        <v>58055.187079063078</v>
      </c>
      <c r="R40" s="45">
        <f>(10^9)*'5'!P40/'9'!$M40</f>
        <v>-9648372.1496694982</v>
      </c>
      <c r="S40" s="45">
        <f>(10^9)*'5'!Q40/'9'!$M40</f>
        <v>48981.738067976621</v>
      </c>
      <c r="T40" s="45">
        <f>(10^9)*'5'!R40/'9'!$M40</f>
        <v>-9649005.7616070993</v>
      </c>
      <c r="U40" s="45">
        <f>(10^9)*'5'!S40/'9'!$M40</f>
        <v>48348.126130376921</v>
      </c>
      <c r="V40" s="14">
        <f t="shared" si="4"/>
        <v>4426802.6906911628</v>
      </c>
      <c r="W40" s="14">
        <f t="shared" si="4"/>
        <v>4426.8026906911618</v>
      </c>
      <c r="X40" s="14">
        <f t="shared" si="4"/>
        <v>4426802.6906911619</v>
      </c>
      <c r="Y40" s="14">
        <f t="shared" si="4"/>
        <v>4426.8026906911618</v>
      </c>
    </row>
    <row r="41" spans="1:26">
      <c r="A41" s="204">
        <v>2006</v>
      </c>
      <c r="B41" s="45">
        <v>298818</v>
      </c>
      <c r="C41" s="45">
        <f>'5'!B41/'9'!B41*10^6</f>
        <v>46230.816082029865</v>
      </c>
      <c r="D41" s="45">
        <f>'5'!C41/'9'!$B41*10^6</f>
        <v>46926.557302438276</v>
      </c>
      <c r="E41" s="45">
        <f>'5'!D41/'9'!$B41*10^6</f>
        <v>46399.81527217236</v>
      </c>
      <c r="F41" s="45">
        <f>'5'!E41/'9'!$B41*10^6</f>
        <v>47095.55649258077</v>
      </c>
      <c r="G41" s="45">
        <f>'5'!F41/'9'!$B41*10^6</f>
        <v>39122.475888333371</v>
      </c>
      <c r="H41" s="45">
        <f>'5'!G41/'9'!$B41*10^6</f>
        <v>39818.217108741774</v>
      </c>
      <c r="I41" s="45">
        <f>'5'!H41/'9'!$B41*10^6</f>
        <v>39291.140426614191</v>
      </c>
      <c r="J41" s="45">
        <f>'5'!I41/'9'!$B41*10^6</f>
        <v>42928.806162948684</v>
      </c>
      <c r="K41" s="45"/>
      <c r="L41" s="120">
        <v>2018</v>
      </c>
      <c r="M41" s="45">
        <v>36994404.25</v>
      </c>
      <c r="N41" s="45">
        <f>(10^9)*'5'!L41/'9'!$M41</f>
        <v>59983.693344649539</v>
      </c>
      <c r="O41" s="45">
        <f>(10^9)*'5'!M41/'9'!$M41</f>
        <v>59983.693344649539</v>
      </c>
      <c r="P41" s="45">
        <f>(10^9)*'5'!N41/'9'!$M41</f>
        <v>59212.090163608998</v>
      </c>
      <c r="Q41" s="45">
        <f>(10^9)*'5'!O41/'9'!$M41</f>
        <v>59212.090163608998</v>
      </c>
      <c r="R41" s="45">
        <f>(10^9)*'5'!P41/'9'!$M41</f>
        <v>-9866652.7114029676</v>
      </c>
      <c r="S41" s="45">
        <f>(10^9)*'5'!Q41/'9'!$M41</f>
        <v>50057.056939901937</v>
      </c>
      <c r="T41" s="45">
        <f>(10^9)*'5'!R41/'9'!$M41</f>
        <v>-9867424.3145840093</v>
      </c>
      <c r="U41" s="45">
        <f>(10^9)*'5'!S41/'9'!$M41</f>
        <v>49285.453758861382</v>
      </c>
      <c r="V41" s="14">
        <f t="shared" si="4"/>
        <v>4634357.3664835785</v>
      </c>
      <c r="W41" s="14">
        <f t="shared" si="4"/>
        <v>4634.3573664835822</v>
      </c>
      <c r="X41" s="14">
        <f t="shared" si="4"/>
        <v>4634357.3664835794</v>
      </c>
      <c r="Y41" s="14">
        <f t="shared" si="4"/>
        <v>4634.3573664835858</v>
      </c>
    </row>
    <row r="42" spans="1:26">
      <c r="A42" s="120">
        <v>2007</v>
      </c>
      <c r="B42" s="45">
        <v>301696</v>
      </c>
      <c r="C42" s="45">
        <f>'5'!B42/'9'!B42*10^6</f>
        <v>47902.192935935513</v>
      </c>
      <c r="D42" s="45">
        <f>'5'!C42/'9'!$B42*10^6</f>
        <v>47843.524607551975</v>
      </c>
      <c r="E42" s="45">
        <f>'5'!D42/'9'!$B42*10^6</f>
        <v>48263.48377174374</v>
      </c>
      <c r="F42" s="45">
        <f>'5'!E42/'9'!$B42*10^6</f>
        <v>48204.81544336021</v>
      </c>
      <c r="G42" s="45">
        <f>'5'!F42/'9'!$B42*10^6</f>
        <v>40435.073716588886</v>
      </c>
      <c r="H42" s="45">
        <f>'5'!G42/'9'!$B42*10^6</f>
        <v>40376.405388205349</v>
      </c>
      <c r="I42" s="45">
        <f>'5'!H42/'9'!$B42*10^6</f>
        <v>40796.364552397114</v>
      </c>
      <c r="J42" s="45">
        <f>'5'!I42/'9'!$B42*10^6</f>
        <v>43807.011030971582</v>
      </c>
      <c r="K42" s="45"/>
      <c r="V42" s="14">
        <f t="shared" si="4"/>
        <v>4911420.0100654382</v>
      </c>
      <c r="W42" s="14">
        <f t="shared" si="4"/>
        <v>4911.4200100654343</v>
      </c>
      <c r="X42" s="14">
        <f t="shared" si="4"/>
        <v>4911420.0100654382</v>
      </c>
      <c r="Y42" s="14">
        <f t="shared" si="4"/>
        <v>4911.420010065438</v>
      </c>
    </row>
    <row r="43" spans="1:26">
      <c r="A43" s="120">
        <v>2008</v>
      </c>
      <c r="B43" s="45">
        <v>304543</v>
      </c>
      <c r="C43" s="45">
        <f>'5'!B43/'9'!B43*10^6</f>
        <v>48311.075940015042</v>
      </c>
      <c r="D43" s="45">
        <f>'5'!C43/'9'!$B43*10^6</f>
        <v>47710.832296260298</v>
      </c>
      <c r="E43" s="45">
        <f>'5'!D43/'9'!$B43*10^6</f>
        <v>48819.050183389532</v>
      </c>
      <c r="F43" s="45">
        <f>'5'!E43/'9'!$B43*10^6</f>
        <v>48218.478178779354</v>
      </c>
      <c r="G43" s="45">
        <f>'5'!F43/'9'!$B43*10^6</f>
        <v>40565.700081761854</v>
      </c>
      <c r="H43" s="45">
        <f>'5'!G43/'9'!$B43*10^6</f>
        <v>39965.45643800711</v>
      </c>
      <c r="I43" s="45">
        <f>'5'!H43/'9'!$B43*10^6</f>
        <v>41073.34596428091</v>
      </c>
      <c r="J43" s="45">
        <f>'5'!I43/'9'!$B43*10^6</f>
        <v>43016.913867664007</v>
      </c>
      <c r="K43" s="45"/>
      <c r="L43" s="5" t="s">
        <v>141</v>
      </c>
      <c r="M43" s="42"/>
      <c r="N43" s="42"/>
      <c r="O43" s="42"/>
      <c r="P43" s="42"/>
      <c r="Q43" s="42"/>
      <c r="R43" s="42"/>
      <c r="S43" s="42"/>
      <c r="T43" s="9"/>
      <c r="U43" s="4"/>
      <c r="V43" s="57" t="e">
        <f t="shared" ref="V43:Y43" si="5">100*((V31/V4)^(1/27)-1)</f>
        <v>#DIV/0!</v>
      </c>
      <c r="W43" s="57" t="e">
        <f t="shared" si="5"/>
        <v>#DIV/0!</v>
      </c>
      <c r="X43" s="57" t="e">
        <f t="shared" si="5"/>
        <v>#DIV/0!</v>
      </c>
      <c r="Y43" s="57" t="e">
        <f t="shared" si="5"/>
        <v>#DIV/0!</v>
      </c>
    </row>
    <row r="44" spans="1:26">
      <c r="A44" s="120">
        <v>2009</v>
      </c>
      <c r="B44" s="45">
        <v>307240</v>
      </c>
      <c r="C44" s="45">
        <f>'5'!B44/'9'!B44*10^6</f>
        <v>47028.056242676728</v>
      </c>
      <c r="D44" s="45">
        <f>'5'!C44/'9'!$B44*10^6</f>
        <v>46402.812133836735</v>
      </c>
      <c r="E44" s="45">
        <f>'5'!D44/'9'!$B44*10^6</f>
        <v>47490.235646400208</v>
      </c>
      <c r="F44" s="45">
        <f>'5'!E44/'9'!$B44*10^6</f>
        <v>46864.666059106894</v>
      </c>
      <c r="G44" s="45">
        <f>'5'!F44/'9'!$B44*10^6</f>
        <v>39309.660200494727</v>
      </c>
      <c r="H44" s="45">
        <f>'5'!G44/'9'!$B44*10^6</f>
        <v>38684.090613201406</v>
      </c>
      <c r="I44" s="45">
        <f>'5'!H44/'9'!$B44*10^6</f>
        <v>39771.514125764872</v>
      </c>
      <c r="J44" s="45">
        <f>'5'!I44/'9'!$B44*10^6</f>
        <v>41780.36713969535</v>
      </c>
      <c r="K44" s="45"/>
      <c r="L44" s="66" t="s">
        <v>138</v>
      </c>
      <c r="M44" s="57">
        <f t="shared" ref="M44:U44" si="6">((M12/M4)^(1/8)-1)*100</f>
        <v>1.1761637237922562</v>
      </c>
      <c r="N44" s="57">
        <f t="shared" si="6"/>
        <v>6.5429307179598384</v>
      </c>
      <c r="O44" s="57">
        <f t="shared" si="6"/>
        <v>6.5429307179598384</v>
      </c>
      <c r="P44" s="57">
        <f t="shared" si="6"/>
        <v>6.5292560215908013</v>
      </c>
      <c r="Q44" s="57">
        <f t="shared" si="6"/>
        <v>6.5292560215908013</v>
      </c>
      <c r="R44" s="57">
        <f t="shared" si="6"/>
        <v>5.8345575667696492</v>
      </c>
      <c r="S44" s="57">
        <f t="shared" si="6"/>
        <v>6.6701450987243005</v>
      </c>
      <c r="T44" s="57">
        <f t="shared" si="6"/>
        <v>5.8348020117626742</v>
      </c>
      <c r="U44" s="58">
        <f t="shared" si="6"/>
        <v>6.659187331383376</v>
      </c>
      <c r="V44" s="14">
        <f t="shared" ref="V44:Y45" si="7">N23-R23</f>
        <v>5388091.6049314821</v>
      </c>
      <c r="W44" s="14">
        <f t="shared" si="7"/>
        <v>5388.0916049314837</v>
      </c>
      <c r="X44" s="14">
        <f t="shared" si="7"/>
        <v>5388091.6049314821</v>
      </c>
      <c r="Y44" s="14">
        <f t="shared" si="7"/>
        <v>5388.0916049314837</v>
      </c>
    </row>
    <row r="45" spans="1:26">
      <c r="A45" s="120">
        <v>2010</v>
      </c>
      <c r="B45" s="45">
        <v>309780</v>
      </c>
      <c r="C45" s="45">
        <f>'5'!B45/'9'!B45*10^6</f>
        <v>48395.958422106014</v>
      </c>
      <c r="D45" s="45">
        <f>'5'!C45/'9'!$B45*10^6</f>
        <v>48198.721673445674</v>
      </c>
      <c r="E45" s="45">
        <f>'5'!D45/'9'!$B45*10^6</f>
        <v>49027.697075343785</v>
      </c>
      <c r="F45" s="45">
        <f>'5'!E45/'9'!$B45*10^6</f>
        <v>48830.46032668346</v>
      </c>
      <c r="G45" s="45">
        <f>'5'!F45/'9'!$B45*10^6</f>
        <v>40677.577635741494</v>
      </c>
      <c r="H45" s="45">
        <f>'5'!G45/'9'!$B45*10^6</f>
        <v>40480.663696817101</v>
      </c>
      <c r="I45" s="45">
        <f>'5'!H45/'9'!$B45*10^6</f>
        <v>41309.31628897928</v>
      </c>
      <c r="J45" s="45">
        <f>'5'!I45/'9'!$B45*10^6</f>
        <v>43646.45877719672</v>
      </c>
      <c r="K45" s="45"/>
      <c r="L45" s="67" t="s">
        <v>27</v>
      </c>
      <c r="M45" s="10">
        <f t="shared" ref="M45:U45" si="8">100*((M23/M12)^(1/11)-1)</f>
        <v>1.0856981822218392</v>
      </c>
      <c r="N45" s="10">
        <f t="shared" si="8"/>
        <v>3.5164286096320385</v>
      </c>
      <c r="O45" s="10">
        <f t="shared" si="8"/>
        <v>3.5164286096320385</v>
      </c>
      <c r="P45" s="10">
        <f t="shared" si="8"/>
        <v>3.595509843705913</v>
      </c>
      <c r="Q45" s="10">
        <f t="shared" si="8"/>
        <v>3.595509843705913</v>
      </c>
      <c r="R45" s="10">
        <f t="shared" si="8"/>
        <v>3.5625468301203833</v>
      </c>
      <c r="S45" s="10">
        <f t="shared" si="8"/>
        <v>3.5084143380078592</v>
      </c>
      <c r="T45" s="10">
        <f t="shared" si="8"/>
        <v>3.5620190885679248</v>
      </c>
      <c r="U45" s="11">
        <f t="shared" si="8"/>
        <v>3.6015487148800984</v>
      </c>
      <c r="V45" s="14">
        <f t="shared" si="7"/>
        <v>5669236.8203538461</v>
      </c>
      <c r="W45" s="14">
        <f t="shared" si="7"/>
        <v>5669.236820353839</v>
      </c>
      <c r="X45" s="14">
        <f t="shared" si="7"/>
        <v>5669236.820353847</v>
      </c>
      <c r="Y45" s="14">
        <f t="shared" si="7"/>
        <v>5669.2368203538463</v>
      </c>
    </row>
    <row r="46" spans="1:26">
      <c r="A46" s="120">
        <v>2011</v>
      </c>
      <c r="B46" s="45">
        <v>312033</v>
      </c>
      <c r="C46" s="45">
        <f>'5'!B46/'9'!B46*10^6</f>
        <v>49810.757195553037</v>
      </c>
      <c r="D46" s="45">
        <f>'5'!C46/'9'!$B46*10^6</f>
        <v>49981.251982963338</v>
      </c>
      <c r="E46" s="45">
        <f>'5'!D46/'9'!$B46*10^6</f>
        <v>50568.369371188302</v>
      </c>
      <c r="F46" s="45">
        <f>'5'!E46/'9'!$B46*10^6</f>
        <v>50738.864158598612</v>
      </c>
      <c r="G46" s="45">
        <f>'5'!F46/'9'!$B46*10^6</f>
        <v>41880.506228507882</v>
      </c>
      <c r="H46" s="45">
        <f>'5'!G46/'9'!$B46*10^6</f>
        <v>42051.32149484189</v>
      </c>
      <c r="I46" s="45">
        <f>'5'!H46/'9'!$B46*10^6</f>
        <v>42638.118404143155</v>
      </c>
      <c r="J46" s="45">
        <f>'5'!I46/'9'!$B46*10^6</f>
        <v>44869.933628814906</v>
      </c>
      <c r="K46" s="45"/>
      <c r="L46" s="67" t="s">
        <v>28</v>
      </c>
      <c r="M46" s="10">
        <f t="shared" ref="M46:U46" si="9">100*((M31/M23)^(1/8)-1)</f>
        <v>1.0048208198238484</v>
      </c>
      <c r="N46" s="10">
        <f t="shared" si="9"/>
        <v>4.1363377114317146</v>
      </c>
      <c r="O46" s="10">
        <f t="shared" si="9"/>
        <v>4.1363377114317146</v>
      </c>
      <c r="P46" s="10">
        <f t="shared" si="9"/>
        <v>4.289884205363248</v>
      </c>
      <c r="Q46" s="10">
        <f t="shared" si="9"/>
        <v>4.289884205363248</v>
      </c>
      <c r="R46" s="10">
        <f t="shared" si="9"/>
        <v>4.6186007529561923</v>
      </c>
      <c r="S46" s="10">
        <f t="shared" si="9"/>
        <v>4.0506466592938217</v>
      </c>
      <c r="T46" s="10">
        <f t="shared" si="9"/>
        <v>4.6175357420147112</v>
      </c>
      <c r="U46" s="11">
        <f t="shared" si="9"/>
        <v>4.2301672157225134</v>
      </c>
      <c r="V46" s="72" t="e">
        <f t="shared" ref="V46:Y46" si="10">100*((V37/V23)^(1/14)-1)</f>
        <v>#REF!</v>
      </c>
      <c r="W46" s="72" t="e">
        <f t="shared" si="10"/>
        <v>#REF!</v>
      </c>
      <c r="X46" s="72" t="e">
        <f t="shared" si="10"/>
        <v>#REF!</v>
      </c>
      <c r="Y46" s="72" t="e">
        <f t="shared" si="10"/>
        <v>#REF!</v>
      </c>
      <c r="Z46" s="73"/>
    </row>
    <row r="47" spans="1:26">
      <c r="A47" s="120">
        <v>2012</v>
      </c>
      <c r="B47" s="45">
        <v>314255</v>
      </c>
      <c r="C47" s="45">
        <f>'5'!B47/'9'!B47*10^6</f>
        <v>51540.946047000049</v>
      </c>
      <c r="D47" s="45">
        <f>'5'!C47/'9'!$B47*10^6</f>
        <v>52309.112026857176</v>
      </c>
      <c r="E47" s="45">
        <f>'5'!D47/'9'!$B47*10^6</f>
        <v>52280.1546514773</v>
      </c>
      <c r="F47" s="45">
        <f>'5'!E47/'9'!$B47*10^6</f>
        <v>53048.320631334427</v>
      </c>
      <c r="G47" s="45">
        <f>'5'!F47/'9'!$B47*10^6</f>
        <v>43343.781324083946</v>
      </c>
      <c r="H47" s="45">
        <f>'5'!G47/'9'!$B47*10^6</f>
        <v>44111.947303941066</v>
      </c>
      <c r="I47" s="45">
        <f>'5'!H47/'9'!$B47*10^6</f>
        <v>44082.989928561197</v>
      </c>
      <c r="J47" s="45">
        <f>'5'!I47/'9'!$B47*10^6</f>
        <v>47747.211659321256</v>
      </c>
      <c r="K47" s="45"/>
      <c r="L47" s="68" t="s">
        <v>154</v>
      </c>
      <c r="M47" s="59">
        <f t="shared" ref="M47:U47" si="11">100*((M31/M4)^(1/27)-1)</f>
        <v>1.0885175847983319</v>
      </c>
      <c r="N47" s="59">
        <f t="shared" si="11"/>
        <v>4.5889581474948926</v>
      </c>
      <c r="O47" s="59">
        <f t="shared" si="11"/>
        <v>4.5889581474948926</v>
      </c>
      <c r="P47" s="59">
        <f t="shared" si="11"/>
        <v>4.6632057910424685</v>
      </c>
      <c r="Q47" s="59">
        <f t="shared" si="11"/>
        <v>4.6632057910424685</v>
      </c>
      <c r="R47" s="59">
        <f t="shared" si="11"/>
        <v>4.544402489066357</v>
      </c>
      <c r="S47" s="59">
        <f t="shared" si="11"/>
        <v>4.5971284350271091</v>
      </c>
      <c r="T47" s="59">
        <f t="shared" si="11"/>
        <v>4.5439416538271438</v>
      </c>
      <c r="U47" s="60">
        <f t="shared" si="11"/>
        <v>4.6857321870492186</v>
      </c>
      <c r="V47" s="14">
        <f t="shared" ref="V47:Y48" si="12">N26-R26</f>
        <v>5892669.3787064571</v>
      </c>
      <c r="W47" s="14">
        <f t="shared" si="12"/>
        <v>5892.6693787064578</v>
      </c>
      <c r="X47" s="14">
        <f t="shared" si="12"/>
        <v>5892669.3787064571</v>
      </c>
      <c r="Y47" s="14">
        <f t="shared" si="12"/>
        <v>5892.6693787064578</v>
      </c>
    </row>
    <row r="48" spans="1:26">
      <c r="A48" s="120">
        <v>2013</v>
      </c>
      <c r="B48" s="45">
        <v>316421</v>
      </c>
      <c r="C48" s="45">
        <f>'5'!B48/'9'!B48*10^6</f>
        <v>53046.099974401201</v>
      </c>
      <c r="D48" s="45">
        <f>'5'!C48/'9'!$B48*10^6</f>
        <v>53552.703518413764</v>
      </c>
      <c r="E48" s="45">
        <f>'5'!D48/'9'!$B48*10^6</f>
        <v>53775.191912041235</v>
      </c>
      <c r="F48" s="45">
        <f>'5'!E48/'9'!$B48*10^6</f>
        <v>54281.795456053806</v>
      </c>
      <c r="G48" s="45">
        <f>'5'!F48/'9'!$B48*10^6</f>
        <v>44572.262902904673</v>
      </c>
      <c r="H48" s="45">
        <f>'5'!G48/'9'!$B48*10^6</f>
        <v>45078.866446917244</v>
      </c>
      <c r="I48" s="45">
        <f>'5'!H48/'9'!$B48*10^6</f>
        <v>45301.670875194752</v>
      </c>
      <c r="J48" s="45">
        <f>'5'!I48/'9'!$B48*10^6</f>
        <v>48739.811832969368</v>
      </c>
      <c r="K48" s="45"/>
      <c r="V48" s="14">
        <f t="shared" si="12"/>
        <v>6062553.0254550325</v>
      </c>
      <c r="W48" s="14">
        <f t="shared" si="12"/>
        <v>6062.5530254550249</v>
      </c>
      <c r="X48" s="14">
        <f t="shared" si="12"/>
        <v>6062553.0254550325</v>
      </c>
      <c r="Y48" s="14">
        <f t="shared" si="12"/>
        <v>6062.5530254550249</v>
      </c>
    </row>
    <row r="49" spans="1:35" s="42" customFormat="1">
      <c r="A49" s="120">
        <v>2014</v>
      </c>
      <c r="B49" s="45">
        <v>318717</v>
      </c>
      <c r="C49" s="45">
        <f>'5'!B49/'9'!B49*10^6</f>
        <v>54975.730820759483</v>
      </c>
      <c r="D49" s="45">
        <f>'5'!C49/'9'!$B49*10^6</f>
        <v>55914.180919122606</v>
      </c>
      <c r="E49" s="45">
        <f>'5'!D49/'9'!$B49*10^6</f>
        <v>55734.083842405649</v>
      </c>
      <c r="F49" s="45">
        <f>'5'!E49/'9'!$B49*10^6</f>
        <v>56672.220182795398</v>
      </c>
      <c r="G49" s="45">
        <f>'5'!F49/'9'!$B49*10^6</f>
        <v>46137.482468773233</v>
      </c>
      <c r="H49" s="45">
        <f>'5'!G49/'9'!$B49*10^6</f>
        <v>47075.618809162988</v>
      </c>
      <c r="I49" s="45">
        <f>'5'!H49/'9'!$B49*10^6</f>
        <v>46895.835490419406</v>
      </c>
      <c r="J49" s="45">
        <f>'5'!I49/'9'!$B49*10^6</f>
        <v>51170.160361700197</v>
      </c>
      <c r="K49" s="45"/>
      <c r="L49" s="69" t="s">
        <v>142</v>
      </c>
      <c r="M49" s="10"/>
      <c r="N49" s="10"/>
      <c r="O49" s="10"/>
      <c r="P49" s="10"/>
      <c r="Q49" s="10"/>
      <c r="R49" s="10"/>
      <c r="S49" s="10"/>
      <c r="T49" s="10"/>
      <c r="U49" s="10"/>
      <c r="V49" s="14"/>
      <c r="W49" s="14"/>
      <c r="X49" s="14"/>
      <c r="Y49" s="14"/>
    </row>
    <row r="50" spans="1:35" s="42" customFormat="1">
      <c r="A50" s="13">
        <v>2015</v>
      </c>
      <c r="B50" s="45">
        <v>321026</v>
      </c>
      <c r="C50" s="45">
        <f>'5'!B50/'9'!B50*10^6</f>
        <v>56753.347080921791</v>
      </c>
      <c r="D50" s="45">
        <f>'5'!C50/'9'!$B50*10^6</f>
        <v>57547.363764928697</v>
      </c>
      <c r="E50" s="45">
        <f>'5'!D50/'9'!$B50*10^6</f>
        <v>57457.962906431261</v>
      </c>
      <c r="F50" s="45">
        <f>'5'!E50/'9'!$B50*10^6</f>
        <v>58252.291091687279</v>
      </c>
      <c r="G50" s="45">
        <f>'5'!F50/'9'!$B50*10^6</f>
        <v>47665.29813784553</v>
      </c>
      <c r="H50" s="45">
        <f>'5'!G50/'9'!$B50*10^6</f>
        <v>48459.626323101555</v>
      </c>
      <c r="I50" s="45">
        <f>'5'!H50/'9'!$B50*10^6</f>
        <v>48370.225464604118</v>
      </c>
      <c r="J50" s="45">
        <f>'5'!I50/'9'!$B50*10^6</f>
        <v>52439.366281858791</v>
      </c>
      <c r="K50" s="45"/>
      <c r="L50" s="66" t="s">
        <v>200</v>
      </c>
      <c r="M50" s="72">
        <f>100*((M41/M23)^(1/18)-1)</f>
        <v>1.0511462783062475</v>
      </c>
      <c r="N50" s="72">
        <f t="shared" ref="N50:U50" si="13">100*((N41/N23)^(1/18)-1)</f>
        <v>2.8627788656971243</v>
      </c>
      <c r="O50" s="72">
        <f t="shared" si="13"/>
        <v>2.8627788656971243</v>
      </c>
      <c r="P50" s="72">
        <f t="shared" si="13"/>
        <v>2.940764486863956</v>
      </c>
      <c r="Q50" s="72">
        <f t="shared" si="13"/>
        <v>2.940764486863956</v>
      </c>
      <c r="R50" s="72">
        <f t="shared" si="13"/>
        <v>3.4566789091672545</v>
      </c>
      <c r="S50" s="72">
        <f t="shared" si="13"/>
        <v>2.7530180204746291</v>
      </c>
      <c r="T50" s="72">
        <f t="shared" si="13"/>
        <v>3.4561115388850094</v>
      </c>
      <c r="U50" s="72">
        <f t="shared" si="13"/>
        <v>2.8432182200561984</v>
      </c>
      <c r="V50" s="14"/>
      <c r="W50" s="14"/>
      <c r="X50" s="14"/>
      <c r="Y50" s="14"/>
    </row>
    <row r="51" spans="1:35" s="42" customFormat="1">
      <c r="A51" s="120">
        <v>2016</v>
      </c>
      <c r="B51" s="45">
        <v>323317</v>
      </c>
      <c r="C51" s="45">
        <f>'5'!B51/'9'!B51*10^6</f>
        <v>57860.242424617325</v>
      </c>
      <c r="D51" s="45">
        <f>'5'!C51/'9'!$B51*10^6</f>
        <v>58252.73647844066</v>
      </c>
      <c r="E51" s="45">
        <f>'5'!D51/'9'!$B51*10^6</f>
        <v>58526.152352026031</v>
      </c>
      <c r="F51" s="45">
        <f>'5'!E51/'9'!$B51*10^6</f>
        <v>58918.646405849373</v>
      </c>
      <c r="G51" s="45">
        <f>'5'!F51/'9'!$B51*10^6</f>
        <v>48610.806112886115</v>
      </c>
      <c r="H51" s="45">
        <f>'5'!G51/'9'!$B51*10^6</f>
        <v>49003.30016670945</v>
      </c>
      <c r="I51" s="45">
        <f>'5'!H51/'9'!$B51*10^6</f>
        <v>49276.716040294821</v>
      </c>
      <c r="J51" s="45">
        <f>'5'!I51/'9'!$B51*10^6</f>
        <v>52791.223474175509</v>
      </c>
      <c r="K51" s="45"/>
      <c r="L51" s="88" t="s">
        <v>201</v>
      </c>
      <c r="M51" s="73">
        <f>100*((M41/M31)^(1/10)-1)</f>
        <v>1.0882219424550366</v>
      </c>
      <c r="N51" s="73">
        <f t="shared" ref="N51:U51" si="14">100*((N41/N31)^(1/10)-1)</f>
        <v>1.8551551641913022</v>
      </c>
      <c r="O51" s="73">
        <f t="shared" si="14"/>
        <v>1.8551551641913022</v>
      </c>
      <c r="P51" s="73">
        <f t="shared" si="14"/>
        <v>1.8740454245567806</v>
      </c>
      <c r="Q51" s="73">
        <f t="shared" si="14"/>
        <v>1.8740454245567806</v>
      </c>
      <c r="R51" s="73">
        <f t="shared" si="14"/>
        <v>2.5364396567195024</v>
      </c>
      <c r="S51" s="73">
        <f t="shared" si="14"/>
        <v>1.7265765133787303</v>
      </c>
      <c r="T51" s="73">
        <f t="shared" si="14"/>
        <v>2.5362625276622586</v>
      </c>
      <c r="U51" s="73">
        <f t="shared" si="14"/>
        <v>1.7469588716931161</v>
      </c>
      <c r="V51" s="14"/>
      <c r="W51" s="14"/>
      <c r="X51" s="14"/>
      <c r="Y51" s="14"/>
    </row>
    <row r="52" spans="1:35" s="42" customFormat="1">
      <c r="A52" s="13">
        <v>2017</v>
      </c>
      <c r="B52" s="45">
        <v>325410</v>
      </c>
      <c r="C52" s="45">
        <f>'5'!B52/'9'!B52*10^6</f>
        <v>59879.536584616333</v>
      </c>
      <c r="D52" s="45">
        <f>'5'!C52/'9'!$B52*10^6</f>
        <v>60319.596816324018</v>
      </c>
      <c r="E52" s="45">
        <f>'5'!D52/'9'!$B52*10^6</f>
        <v>60628.437970560211</v>
      </c>
      <c r="F52" s="45">
        <f>'5'!E52/'9'!$B52*10^6</f>
        <v>61068.190897636829</v>
      </c>
      <c r="G52" s="45">
        <f>'5'!F52/'9'!$B52*10^6</f>
        <v>50303.309670876741</v>
      </c>
      <c r="H52" s="45">
        <f>'5'!G52/'9'!$B52*10^6</f>
        <v>50743.369902584433</v>
      </c>
      <c r="I52" s="45">
        <f>'5'!H52/'9'!$B52*10^6</f>
        <v>51052.211056820634</v>
      </c>
      <c r="J52" s="45">
        <f>'5'!I52/'9'!$B52*10^6</f>
        <v>54661.196644233423</v>
      </c>
      <c r="K52" s="45"/>
      <c r="L52" s="68" t="s">
        <v>202</v>
      </c>
      <c r="M52" s="74">
        <f>100*((M41/M4)^(1/37)-1)</f>
        <v>1.0884376813770524</v>
      </c>
      <c r="N52" s="74">
        <f t="shared" ref="N52:U52" si="15">100*((N41/N4)^(1/37)-1)</f>
        <v>3.8429377575619927</v>
      </c>
      <c r="O52" s="74">
        <f t="shared" si="15"/>
        <v>3.8429377575619927</v>
      </c>
      <c r="P52" s="74">
        <f t="shared" si="15"/>
        <v>3.901934303799659</v>
      </c>
      <c r="Q52" s="74">
        <f t="shared" si="15"/>
        <v>3.901934303799659</v>
      </c>
      <c r="R52" s="74">
        <f t="shared" si="15"/>
        <v>3.9978640276532751</v>
      </c>
      <c r="S52" s="74">
        <f t="shared" si="15"/>
        <v>3.8134097396959943</v>
      </c>
      <c r="T52" s="74">
        <f t="shared" si="15"/>
        <v>3.9974809454054405</v>
      </c>
      <c r="U52" s="74">
        <f t="shared" si="15"/>
        <v>3.8831995482677684</v>
      </c>
      <c r="V52" s="14"/>
      <c r="W52" s="14"/>
      <c r="X52" s="14"/>
      <c r="Y52" s="14"/>
    </row>
    <row r="53" spans="1:35" s="42" customFormat="1">
      <c r="A53" s="120">
        <v>2018</v>
      </c>
      <c r="B53" s="45">
        <v>327436</v>
      </c>
      <c r="C53" s="45">
        <f>'5'!B53/'9'!B53*10^6</f>
        <v>62589.635837232316</v>
      </c>
      <c r="D53" s="45">
        <f>'5'!C53/'9'!$B53*10^6</f>
        <v>62735.313160434402</v>
      </c>
      <c r="E53" s="45">
        <f>'5'!D53/'9'!$B53*10^6</f>
        <v>63387.959784507511</v>
      </c>
      <c r="F53" s="45">
        <f>'5'!E53/'9'!$B53*10^6</f>
        <v>63533.637107709597</v>
      </c>
      <c r="G53" s="45">
        <f>'5'!F53/'9'!$B53*10^6</f>
        <v>52591.04069192148</v>
      </c>
      <c r="H53" s="45">
        <f>'5'!G53/'9'!$B53*10^6</f>
        <v>52737.023418316858</v>
      </c>
      <c r="I53" s="45">
        <f>'5'!H53/'9'!$B53*10^6</f>
        <v>53389.364639196661</v>
      </c>
      <c r="J53" s="45">
        <f>'5'!I53/'9'!$B53*10^6</f>
        <v>56654.12477552866</v>
      </c>
      <c r="K53" s="45"/>
      <c r="L53" s="21"/>
      <c r="M53" s="10"/>
      <c r="N53" s="10"/>
      <c r="O53" s="10"/>
      <c r="P53" s="10"/>
      <c r="Q53" s="10"/>
      <c r="R53" s="10"/>
      <c r="S53" s="10"/>
      <c r="T53" s="10"/>
      <c r="U53" s="10"/>
      <c r="V53" s="14"/>
      <c r="W53" s="14"/>
      <c r="X53" s="14"/>
      <c r="Y53" s="14"/>
    </row>
    <row r="54" spans="1:35">
      <c r="A54" s="98"/>
      <c r="B54" s="45"/>
      <c r="C54" s="41"/>
      <c r="D54" s="41"/>
      <c r="E54" s="41"/>
      <c r="F54" s="41"/>
      <c r="G54" s="41"/>
      <c r="H54" s="41"/>
      <c r="I54" s="41"/>
      <c r="J54" s="45"/>
      <c r="K54" s="45"/>
      <c r="V54" s="14">
        <f t="shared" ref="V54:Y57" si="16">N28-R28</f>
        <v>6343696.1559175579</v>
      </c>
      <c r="W54" s="14">
        <f t="shared" si="16"/>
        <v>6343.6961559175543</v>
      </c>
      <c r="X54" s="14">
        <f t="shared" si="16"/>
        <v>6343696.1559175579</v>
      </c>
      <c r="Y54" s="14">
        <f t="shared" si="16"/>
        <v>6343.6961559175543</v>
      </c>
    </row>
    <row r="55" spans="1:35">
      <c r="A55" s="5" t="s">
        <v>141</v>
      </c>
      <c r="B55" s="42"/>
      <c r="C55" s="42"/>
      <c r="D55" s="42"/>
      <c r="E55" s="42"/>
      <c r="F55" s="42"/>
      <c r="G55" s="42"/>
      <c r="H55" s="42"/>
      <c r="I55" s="9"/>
      <c r="J55" s="9"/>
      <c r="K55" s="45"/>
      <c r="V55" s="14">
        <f t="shared" si="16"/>
        <v>6742152.3890660731</v>
      </c>
      <c r="W55" s="14">
        <f t="shared" si="16"/>
        <v>6742.1523890660756</v>
      </c>
      <c r="X55" s="14">
        <f t="shared" si="16"/>
        <v>6742152.3890660731</v>
      </c>
      <c r="Y55" s="14">
        <f t="shared" si="16"/>
        <v>6742.1523890660756</v>
      </c>
    </row>
    <row r="56" spans="1:35">
      <c r="A56" s="56" t="s">
        <v>50</v>
      </c>
      <c r="B56" s="72">
        <f t="shared" ref="B56:J56" si="17">100*((B43/B17)^(1/26)-1)</f>
        <v>1.0482860598093557</v>
      </c>
      <c r="C56" s="57">
        <f t="shared" si="17"/>
        <v>4.7657482454076749</v>
      </c>
      <c r="D56" s="57">
        <f t="shared" si="17"/>
        <v>4.725996461491655</v>
      </c>
      <c r="E56" s="57">
        <f t="shared" si="17"/>
        <v>4.7641492956202791</v>
      </c>
      <c r="F56" s="57">
        <f t="shared" si="17"/>
        <v>4.7249026405108641</v>
      </c>
      <c r="G56" s="57">
        <f t="shared" si="17"/>
        <v>4.7670573197289068</v>
      </c>
      <c r="H56" s="57">
        <f t="shared" si="17"/>
        <v>4.7196519935341463</v>
      </c>
      <c r="I56" s="57">
        <f t="shared" si="17"/>
        <v>4.7651078865784235</v>
      </c>
      <c r="J56" s="58">
        <f t="shared" si="17"/>
        <v>4.6974270520960593</v>
      </c>
      <c r="K56" s="45"/>
      <c r="L56" s="174" t="s">
        <v>123</v>
      </c>
      <c r="M56" s="174"/>
      <c r="N56" s="174"/>
      <c r="O56" s="174"/>
      <c r="P56" s="174"/>
      <c r="Q56" s="174"/>
      <c r="R56" s="174"/>
      <c r="S56" s="174"/>
      <c r="T56" s="174"/>
      <c r="U56" s="174"/>
      <c r="V56" s="14">
        <f t="shared" si="16"/>
        <v>7170599.1461858954</v>
      </c>
      <c r="W56" s="14">
        <f t="shared" si="16"/>
        <v>7170.5991461858866</v>
      </c>
      <c r="X56" s="14">
        <f t="shared" si="16"/>
        <v>7170599.1461858964</v>
      </c>
      <c r="Y56" s="14">
        <f t="shared" si="16"/>
        <v>7170.5991461858939</v>
      </c>
    </row>
    <row r="57" spans="1:35">
      <c r="A57" s="67" t="s">
        <v>137</v>
      </c>
      <c r="B57" s="73">
        <f t="shared" ref="B57:J57" si="18">100*((B16/B8)^(1/8)-1)</f>
        <v>1.027942316368069</v>
      </c>
      <c r="C57" s="10">
        <f t="shared" si="18"/>
        <v>9.541521304515399</v>
      </c>
      <c r="D57" s="10">
        <f t="shared" si="18"/>
        <v>9.4380439353273449</v>
      </c>
      <c r="E57" s="10">
        <f t="shared" si="18"/>
        <v>9.5611943439424465</v>
      </c>
      <c r="F57" s="10">
        <f t="shared" si="18"/>
        <v>9.4584182911207506</v>
      </c>
      <c r="G57" s="10">
        <f t="shared" si="18"/>
        <v>9.1202541061235607</v>
      </c>
      <c r="H57" s="10">
        <f t="shared" si="18"/>
        <v>8.9959021429206754</v>
      </c>
      <c r="I57" s="10">
        <f t="shared" si="18"/>
        <v>9.1471002994703454</v>
      </c>
      <c r="J57" s="11">
        <f t="shared" si="18"/>
        <v>9.2203881634833387</v>
      </c>
      <c r="K57" s="45"/>
      <c r="L57" s="174" t="s">
        <v>183</v>
      </c>
      <c r="M57" s="174"/>
      <c r="N57" s="174"/>
      <c r="O57" s="174"/>
      <c r="P57" s="174"/>
      <c r="Q57" s="174"/>
      <c r="R57" s="174"/>
      <c r="S57" s="174"/>
      <c r="T57" s="174"/>
      <c r="U57" s="174"/>
      <c r="V57" s="14">
        <f t="shared" si="16"/>
        <v>7730376.6529215211</v>
      </c>
      <c r="W57" s="14">
        <f t="shared" si="16"/>
        <v>7730.3766529215136</v>
      </c>
      <c r="X57" s="14">
        <f t="shared" si="16"/>
        <v>7730376.6529215211</v>
      </c>
      <c r="Y57" s="14">
        <f t="shared" si="16"/>
        <v>7730.3766529215209</v>
      </c>
    </row>
    <row r="58" spans="1:35" s="35" customFormat="1">
      <c r="A58" s="67" t="s">
        <v>138</v>
      </c>
      <c r="B58" s="73">
        <f t="shared" ref="B58:J58" si="19">((B24/B16)^(1/8)-1)*100</f>
        <v>0.91465540431414638</v>
      </c>
      <c r="C58" s="10">
        <f t="shared" si="19"/>
        <v>6.3429429289503236</v>
      </c>
      <c r="D58" s="10">
        <f t="shared" si="19"/>
        <v>6.3401952158656183</v>
      </c>
      <c r="E58" s="10">
        <f t="shared" si="19"/>
        <v>6.2651931089871882</v>
      </c>
      <c r="F58" s="10">
        <f t="shared" si="19"/>
        <v>6.2619493254414182</v>
      </c>
      <c r="G58" s="10">
        <f t="shared" si="19"/>
        <v>6.3949711890539218</v>
      </c>
      <c r="H58" s="10">
        <f t="shared" si="19"/>
        <v>6.3929673560266798</v>
      </c>
      <c r="I58" s="10">
        <f t="shared" si="19"/>
        <v>6.3035896959184212</v>
      </c>
      <c r="J58" s="11">
        <f t="shared" si="19"/>
        <v>6.0964131473988159</v>
      </c>
      <c r="K58" s="45"/>
      <c r="L58" s="192" t="s">
        <v>124</v>
      </c>
      <c r="M58" s="192"/>
      <c r="N58" s="192"/>
      <c r="O58" s="192"/>
      <c r="P58" s="192"/>
      <c r="Q58" s="192"/>
      <c r="R58" s="192"/>
      <c r="S58" s="192"/>
      <c r="T58" s="192"/>
      <c r="U58" s="192"/>
      <c r="V58" s="14"/>
      <c r="W58" s="14"/>
      <c r="X58" s="14"/>
      <c r="Y58" s="14"/>
    </row>
    <row r="59" spans="1:35" s="42" customFormat="1">
      <c r="A59" s="67" t="s">
        <v>27</v>
      </c>
      <c r="B59" s="73">
        <f>100*((B35/B24)^(1/11)-1)</f>
        <v>1.2105734851499239</v>
      </c>
      <c r="C59" s="10">
        <f>100*((C35/C24)^(1/11)-1)</f>
        <v>4.3176178515071495</v>
      </c>
      <c r="D59" s="10">
        <f t="shared" ref="D59:I59" si="20">100*((D35/D24)^(1/11)-1)</f>
        <v>4.5216637205329313</v>
      </c>
      <c r="E59" s="10">
        <f>100*((E35/E24)^(1/11)-1)</f>
        <v>4.3084334929039292</v>
      </c>
      <c r="F59" s="10">
        <f t="shared" si="20"/>
        <v>4.5116517929909117</v>
      </c>
      <c r="G59" s="10">
        <f>100*((G35/G24)^(1/11)-1)</f>
        <v>4.3308812642579575</v>
      </c>
      <c r="H59" s="10">
        <f t="shared" si="20"/>
        <v>4.5705234100865466</v>
      </c>
      <c r="I59" s="10">
        <f t="shared" si="20"/>
        <v>4.3199388936320693</v>
      </c>
      <c r="J59" s="11">
        <f>100*((J35/J24)^(1/11)-1)</f>
        <v>4.5088936130496249</v>
      </c>
      <c r="K59" s="45"/>
      <c r="V59" s="14"/>
      <c r="W59" s="14"/>
      <c r="X59" s="14"/>
      <c r="Y59" s="14"/>
    </row>
    <row r="60" spans="1:35" s="42" customFormat="1">
      <c r="A60" s="68" t="s">
        <v>28</v>
      </c>
      <c r="B60" s="74">
        <f t="shared" ref="B60:J60" si="21">100*((B43/B35)^(1/8)-1)</f>
        <v>0.94815261524316963</v>
      </c>
      <c r="C60" s="59">
        <f t="shared" si="21"/>
        <v>3.6360561332673846</v>
      </c>
      <c r="D60" s="59">
        <f t="shared" si="21"/>
        <v>3.3531165230688442</v>
      </c>
      <c r="E60" s="59">
        <f t="shared" si="21"/>
        <v>3.7273217348764653</v>
      </c>
      <c r="F60" s="59">
        <f t="shared" si="21"/>
        <v>3.446148905069979</v>
      </c>
      <c r="G60" s="59">
        <f t="shared" si="21"/>
        <v>3.4384044600333397</v>
      </c>
      <c r="H60" s="59">
        <f t="shared" si="21"/>
        <v>3.1042355582132197</v>
      </c>
      <c r="I60" s="59">
        <f t="shared" si="21"/>
        <v>3.5475951626643187</v>
      </c>
      <c r="J60" s="60">
        <f t="shared" si="21"/>
        <v>3.4126105136829787</v>
      </c>
      <c r="K60" s="45"/>
      <c r="V60" s="14"/>
      <c r="W60" s="14"/>
      <c r="X60" s="14"/>
      <c r="Y60" s="14"/>
    </row>
    <row r="61" spans="1:35" s="42" customFormat="1">
      <c r="A61" s="21"/>
      <c r="B61" s="10"/>
      <c r="C61" s="10"/>
      <c r="D61" s="10"/>
      <c r="E61" s="10"/>
      <c r="F61" s="10"/>
      <c r="G61" s="10"/>
      <c r="H61" s="10"/>
      <c r="I61" s="10"/>
      <c r="J61" s="10"/>
      <c r="K61" s="45"/>
      <c r="L61" s="15"/>
      <c r="M61" s="15"/>
      <c r="N61" s="15"/>
      <c r="O61" s="15"/>
      <c r="P61" s="15"/>
      <c r="Q61" s="15"/>
      <c r="R61" s="15"/>
      <c r="S61" s="15"/>
      <c r="T61" s="15"/>
      <c r="U61" s="15"/>
      <c r="V61" s="14"/>
      <c r="W61" s="14"/>
      <c r="X61" s="14"/>
      <c r="Y61" s="14"/>
    </row>
    <row r="62" spans="1:35" s="42" customFormat="1">
      <c r="A62" s="69" t="s">
        <v>142</v>
      </c>
      <c r="B62" s="10"/>
      <c r="C62" s="10"/>
      <c r="D62" s="10"/>
      <c r="E62" s="10"/>
      <c r="F62" s="10"/>
      <c r="G62" s="10"/>
      <c r="H62" s="10"/>
      <c r="I62" s="10"/>
      <c r="J62" s="10"/>
      <c r="K62" s="45"/>
      <c r="L62" s="15"/>
      <c r="M62" s="15"/>
      <c r="N62" s="15"/>
      <c r="O62" s="15"/>
      <c r="P62" s="15"/>
      <c r="Q62" s="15"/>
      <c r="R62" s="15"/>
      <c r="S62" s="15"/>
      <c r="T62" s="15"/>
      <c r="U62" s="15"/>
      <c r="V62" s="14"/>
      <c r="W62" s="14"/>
      <c r="X62" s="14"/>
      <c r="Y62" s="14"/>
      <c r="Z62" s="9"/>
    </row>
    <row r="63" spans="1:35" s="42" customFormat="1">
      <c r="A63" s="66" t="s">
        <v>200</v>
      </c>
      <c r="B63" s="72">
        <f>100*((B53/B35)^(1/18)-1)</f>
        <v>0.82547279645308613</v>
      </c>
      <c r="C63" s="72">
        <f t="shared" ref="C63:J63" si="22">100*((C53/C35)^(1/18)-1)</f>
        <v>3.0721328919800062</v>
      </c>
      <c r="D63" s="72">
        <f t="shared" si="22"/>
        <v>3.0318069070757181</v>
      </c>
      <c r="E63" s="72">
        <f t="shared" si="22"/>
        <v>3.125151122250247</v>
      </c>
      <c r="F63" s="72">
        <f t="shared" si="22"/>
        <v>3.084819115781201</v>
      </c>
      <c r="G63" s="72">
        <f t="shared" si="22"/>
        <v>2.9886330919148385</v>
      </c>
      <c r="H63" s="72">
        <f t="shared" si="22"/>
        <v>2.9416847422362835</v>
      </c>
      <c r="I63" s="72">
        <f t="shared" si="22"/>
        <v>3.0519889107435638</v>
      </c>
      <c r="J63" s="72">
        <f t="shared" si="22"/>
        <v>3.067354197055594</v>
      </c>
      <c r="K63" s="85"/>
      <c r="L63" s="15"/>
      <c r="M63" s="15"/>
      <c r="N63" s="15"/>
      <c r="O63" s="15"/>
      <c r="P63" s="15"/>
      <c r="Q63" s="15"/>
      <c r="R63" s="15"/>
      <c r="S63" s="15"/>
      <c r="T63" s="15"/>
      <c r="U63" s="15"/>
      <c r="AI63" s="9"/>
    </row>
    <row r="64" spans="1:35" s="42" customFormat="1" ht="16.5" customHeight="1">
      <c r="A64" s="88" t="s">
        <v>201</v>
      </c>
      <c r="B64" s="73">
        <f>100*((B53/B43)^(1/10)-1)</f>
        <v>0.72743629476319516</v>
      </c>
      <c r="C64" s="73">
        <f t="shared" ref="C64:J64" si="23">100*((C53/C43)^(1/10)-1)</f>
        <v>2.6232044368889929</v>
      </c>
      <c r="D64" s="73">
        <f t="shared" si="23"/>
        <v>2.7754785745556898</v>
      </c>
      <c r="E64" s="73">
        <f t="shared" si="23"/>
        <v>2.6459325803311895</v>
      </c>
      <c r="F64" s="73">
        <f t="shared" si="23"/>
        <v>2.7966642070076153</v>
      </c>
      <c r="G64" s="73">
        <f t="shared" si="23"/>
        <v>2.6302245087146181</v>
      </c>
      <c r="H64" s="73">
        <f t="shared" si="23"/>
        <v>2.8118286249705804</v>
      </c>
      <c r="I64" s="73">
        <f t="shared" si="23"/>
        <v>2.657212369090689</v>
      </c>
      <c r="J64" s="73">
        <f t="shared" si="23"/>
        <v>2.7919792601847737</v>
      </c>
      <c r="K64" s="21"/>
      <c r="AB64" s="12"/>
      <c r="AC64" s="12"/>
      <c r="AD64" s="12"/>
      <c r="AE64" s="12"/>
    </row>
    <row r="65" spans="1:31" s="42" customFormat="1" ht="16.5" customHeight="1">
      <c r="A65" s="79" t="s">
        <v>202</v>
      </c>
      <c r="B65" s="74">
        <f>100*((B53/B16)^(1/37)-1)</f>
        <v>0.95910678470720878</v>
      </c>
      <c r="C65" s="74">
        <f t="shared" ref="C65:J65" si="24">100*((C53/C16)^(1/37)-1)</f>
        <v>4.1419195973836809</v>
      </c>
      <c r="D65" s="74">
        <f t="shared" si="24"/>
        <v>4.1820209270667208</v>
      </c>
      <c r="E65" s="74">
        <f t="shared" si="24"/>
        <v>4.148778618122595</v>
      </c>
      <c r="F65" s="74">
        <f t="shared" si="24"/>
        <v>4.1885442874433965</v>
      </c>
      <c r="G65" s="74">
        <f t="shared" si="24"/>
        <v>4.1158132130507452</v>
      </c>
      <c r="H65" s="74">
        <f t="shared" si="24"/>
        <v>4.1633216569181508</v>
      </c>
      <c r="I65" s="74">
        <f t="shared" si="24"/>
        <v>4.124373252020086</v>
      </c>
      <c r="J65" s="74">
        <f t="shared" si="24"/>
        <v>4.1440275841254204</v>
      </c>
      <c r="K65" s="21"/>
      <c r="AB65" s="12"/>
      <c r="AC65" s="12"/>
      <c r="AD65" s="12"/>
      <c r="AE65" s="12"/>
    </row>
    <row r="66" spans="1:31" s="42" customFormat="1">
      <c r="A66" s="98"/>
      <c r="B66" s="45"/>
      <c r="C66" s="41"/>
      <c r="D66" s="41"/>
      <c r="E66" s="45"/>
      <c r="F66" s="41"/>
      <c r="G66" s="41"/>
      <c r="H66" s="41"/>
      <c r="I66" s="41"/>
      <c r="J66" s="45"/>
      <c r="K66" s="13"/>
    </row>
    <row r="67" spans="1:31" s="42" customFormat="1">
      <c r="A67" s="174" t="s">
        <v>123</v>
      </c>
      <c r="B67" s="174"/>
      <c r="C67" s="174"/>
      <c r="D67" s="174"/>
      <c r="E67" s="174"/>
      <c r="F67" s="174"/>
      <c r="G67" s="174"/>
      <c r="H67" s="174"/>
      <c r="I67" s="174"/>
      <c r="J67" s="174"/>
      <c r="K67" s="13"/>
      <c r="L67" s="15"/>
      <c r="M67" s="15"/>
      <c r="N67" s="15"/>
      <c r="O67" s="15"/>
      <c r="P67" s="15"/>
      <c r="R67" s="15"/>
      <c r="S67" s="15"/>
      <c r="T67" s="15"/>
      <c r="U67" s="15"/>
    </row>
    <row r="68" spans="1:31" s="42" customFormat="1">
      <c r="A68" s="191" t="s">
        <v>182</v>
      </c>
      <c r="B68" s="191"/>
      <c r="C68" s="191"/>
      <c r="D68" s="191"/>
      <c r="E68" s="191"/>
      <c r="F68" s="191"/>
      <c r="G68" s="191"/>
      <c r="H68" s="191"/>
      <c r="I68" s="191"/>
      <c r="J68" s="191"/>
      <c r="K68" s="13"/>
      <c r="L68" s="15"/>
      <c r="M68" s="15"/>
      <c r="N68" s="15"/>
      <c r="O68" s="15"/>
      <c r="P68" s="15"/>
      <c r="Q68" s="15"/>
      <c r="R68" s="15"/>
      <c r="S68" s="15"/>
      <c r="T68" s="15"/>
      <c r="U68" s="15"/>
    </row>
    <row r="69" spans="1:31" s="42" customFormat="1">
      <c r="A69" s="192" t="s">
        <v>125</v>
      </c>
      <c r="B69" s="192"/>
      <c r="C69" s="192"/>
      <c r="D69" s="192"/>
      <c r="E69" s="192"/>
      <c r="F69" s="192"/>
      <c r="G69" s="192"/>
      <c r="H69" s="192"/>
      <c r="I69" s="192"/>
      <c r="J69" s="192"/>
      <c r="K69" s="13"/>
      <c r="L69" s="15"/>
      <c r="M69" s="15"/>
      <c r="N69" s="15"/>
      <c r="O69" s="15"/>
      <c r="P69" s="15"/>
      <c r="Q69" s="15"/>
      <c r="R69" s="15"/>
      <c r="S69" s="15"/>
      <c r="T69" s="15"/>
      <c r="U69" s="15"/>
    </row>
    <row r="70" spans="1:31" s="42" customFormat="1">
      <c r="A70" s="15"/>
      <c r="B70" s="15"/>
      <c r="C70" s="15"/>
      <c r="D70" s="15"/>
      <c r="E70" s="15"/>
      <c r="F70" s="15"/>
      <c r="G70" s="15"/>
      <c r="H70" s="15"/>
      <c r="I70" s="15"/>
      <c r="J70" s="15"/>
      <c r="K70" s="13"/>
      <c r="L70" s="15"/>
      <c r="M70" s="15"/>
      <c r="N70" s="15"/>
      <c r="O70" s="15"/>
      <c r="P70" s="15"/>
      <c r="Q70" s="15"/>
      <c r="R70" s="15"/>
      <c r="S70" s="15"/>
      <c r="T70" s="15"/>
      <c r="U70" s="15"/>
    </row>
    <row r="71" spans="1:31" s="42" customFormat="1">
      <c r="A71" s="4"/>
      <c r="B71" s="4"/>
      <c r="C71" s="4"/>
      <c r="D71" s="4"/>
      <c r="E71" s="4"/>
      <c r="F71" s="4"/>
      <c r="G71" s="4"/>
      <c r="H71" s="4"/>
      <c r="I71" s="4"/>
      <c r="J71" s="4"/>
      <c r="K71" s="99"/>
      <c r="L71" s="15"/>
      <c r="M71" s="15"/>
      <c r="N71" s="15"/>
      <c r="O71" s="15"/>
      <c r="P71" s="15"/>
      <c r="Q71" s="15"/>
      <c r="R71" s="15"/>
      <c r="S71" s="15"/>
      <c r="T71" s="15"/>
      <c r="U71" s="15"/>
    </row>
    <row r="72" spans="1:31" s="42" customFormat="1">
      <c r="A72" s="15"/>
      <c r="B72" s="15"/>
      <c r="C72" s="15"/>
      <c r="D72" s="15"/>
      <c r="E72" s="15"/>
      <c r="F72" s="15"/>
      <c r="G72" s="15"/>
      <c r="H72" s="15"/>
      <c r="I72" s="15"/>
      <c r="J72" s="15"/>
      <c r="K72" s="45"/>
      <c r="L72" s="15"/>
      <c r="M72" s="15"/>
      <c r="N72" s="15"/>
      <c r="O72" s="15"/>
      <c r="P72" s="15"/>
      <c r="Q72" s="15"/>
      <c r="R72" s="15"/>
      <c r="S72" s="15"/>
      <c r="T72" s="15"/>
      <c r="U72" s="15"/>
    </row>
    <row r="73" spans="1:31" s="42" customFormat="1">
      <c r="A73" s="15"/>
      <c r="B73" s="15"/>
      <c r="C73" s="15"/>
      <c r="D73" s="15"/>
      <c r="E73" s="15"/>
      <c r="F73" s="15"/>
      <c r="G73" s="15"/>
      <c r="H73" s="15"/>
      <c r="I73" s="15"/>
      <c r="J73" s="15"/>
      <c r="K73" s="13"/>
      <c r="L73" s="15"/>
      <c r="M73" s="15"/>
      <c r="N73" s="15"/>
      <c r="O73" s="15"/>
      <c r="P73" s="15"/>
      <c r="Q73" s="15"/>
      <c r="R73" s="15"/>
      <c r="S73" s="15"/>
      <c r="T73" s="15"/>
      <c r="U73" s="15"/>
    </row>
    <row r="74" spans="1:31" s="42" customFormat="1">
      <c r="A74" s="15"/>
      <c r="B74" s="15"/>
      <c r="C74" s="15"/>
      <c r="D74" s="15"/>
      <c r="E74" s="15"/>
      <c r="F74" s="15"/>
      <c r="G74" s="15"/>
      <c r="H74" s="15"/>
      <c r="I74" s="15"/>
      <c r="J74" s="15"/>
      <c r="K74" s="10"/>
      <c r="L74" s="15"/>
      <c r="M74" s="15"/>
      <c r="N74" s="15"/>
      <c r="O74" s="15"/>
      <c r="P74" s="15"/>
      <c r="Q74" s="15"/>
      <c r="R74" s="15"/>
      <c r="S74" s="15"/>
      <c r="T74" s="15"/>
      <c r="U74" s="15"/>
    </row>
    <row r="75" spans="1:31" s="42" customFormat="1">
      <c r="A75" s="15"/>
      <c r="B75" s="15"/>
      <c r="C75" s="15"/>
      <c r="D75" s="15"/>
      <c r="E75" s="15"/>
      <c r="F75" s="15"/>
      <c r="G75" s="15"/>
      <c r="H75" s="15"/>
      <c r="I75" s="15"/>
      <c r="J75" s="15"/>
      <c r="K75" s="10"/>
      <c r="L75" s="15"/>
      <c r="M75" s="15"/>
      <c r="N75" s="15"/>
      <c r="O75" s="15"/>
      <c r="P75" s="15"/>
      <c r="Q75" s="15"/>
      <c r="R75" s="15"/>
      <c r="S75" s="15"/>
      <c r="T75" s="15"/>
      <c r="U75" s="15"/>
    </row>
    <row r="76" spans="1:31" s="42" customFormat="1">
      <c r="A76" s="15"/>
      <c r="B76" s="15"/>
      <c r="C76" s="15"/>
      <c r="D76" s="15"/>
      <c r="E76" s="15"/>
      <c r="F76" s="15"/>
      <c r="G76" s="15"/>
      <c r="H76" s="15"/>
      <c r="I76" s="15"/>
      <c r="J76" s="15"/>
      <c r="K76" s="10"/>
      <c r="L76" s="15"/>
      <c r="M76" s="15"/>
      <c r="N76" s="15"/>
      <c r="O76" s="15"/>
      <c r="P76" s="15"/>
      <c r="Q76" s="15"/>
      <c r="R76" s="15"/>
      <c r="S76" s="15"/>
      <c r="T76" s="15"/>
      <c r="U76" s="15"/>
    </row>
    <row r="77" spans="1:31" s="42" customFormat="1">
      <c r="A77" s="15"/>
      <c r="B77" s="15"/>
      <c r="C77" s="15"/>
      <c r="D77" s="15"/>
      <c r="E77" s="15"/>
      <c r="F77" s="15"/>
      <c r="G77" s="15"/>
      <c r="H77" s="15"/>
      <c r="I77" s="15"/>
      <c r="J77" s="15"/>
      <c r="K77" s="10"/>
      <c r="L77" s="9"/>
      <c r="M77" s="15"/>
      <c r="N77" s="15"/>
      <c r="O77" s="15"/>
      <c r="P77" s="15"/>
      <c r="Q77" s="15"/>
      <c r="R77" s="15"/>
      <c r="S77" s="15"/>
      <c r="T77" s="15"/>
      <c r="U77" s="15"/>
    </row>
    <row r="78" spans="1:31" s="42" customFormat="1">
      <c r="A78" s="15"/>
      <c r="B78" s="15"/>
      <c r="C78" s="15"/>
      <c r="D78" s="15"/>
      <c r="E78" s="15"/>
      <c r="F78" s="15"/>
      <c r="G78" s="15"/>
      <c r="H78" s="15"/>
      <c r="I78" s="15"/>
      <c r="J78" s="15"/>
      <c r="K78" s="10"/>
      <c r="L78" s="15"/>
      <c r="M78" s="15"/>
      <c r="N78" s="15"/>
      <c r="O78" s="15"/>
      <c r="P78" s="15"/>
      <c r="Q78" s="15"/>
      <c r="R78" s="15"/>
      <c r="S78" s="15"/>
      <c r="T78" s="15"/>
      <c r="U78" s="15"/>
      <c r="V78" s="14"/>
      <c r="W78" s="14"/>
      <c r="X78" s="14"/>
      <c r="Y78" s="14"/>
      <c r="Z78" s="9"/>
    </row>
    <row r="79" spans="1:31" hidden="1"/>
    <row r="80" spans="1:31" hidden="1"/>
    <row r="81" spans="1:44" hidden="1"/>
    <row r="82" spans="1:44" hidden="1"/>
    <row r="83" spans="1:44" s="35" customFormat="1" hidden="1">
      <c r="A83" s="15"/>
      <c r="B83" s="15"/>
      <c r="C83" s="15"/>
      <c r="D83" s="15"/>
      <c r="E83" s="15"/>
      <c r="F83" s="15"/>
      <c r="G83" s="15"/>
      <c r="H83" s="15"/>
      <c r="I83" s="15"/>
      <c r="J83" s="15"/>
      <c r="K83" s="4">
        <v>225106</v>
      </c>
      <c r="L83" s="15"/>
      <c r="M83" s="15"/>
      <c r="N83" s="15"/>
      <c r="O83" s="15"/>
      <c r="P83" s="15"/>
      <c r="Q83" s="15"/>
      <c r="R83" s="15"/>
      <c r="S83" s="15"/>
      <c r="T83" s="15"/>
      <c r="U83" s="15"/>
    </row>
    <row r="84" spans="1:44" s="35" customFormat="1" hidden="1">
      <c r="A84" s="15"/>
      <c r="B84" s="15"/>
      <c r="C84" s="15"/>
      <c r="D84" s="15"/>
      <c r="E84" s="15"/>
      <c r="F84" s="15"/>
      <c r="G84" s="15"/>
      <c r="H84" s="15"/>
      <c r="I84" s="15"/>
      <c r="J84" s="15"/>
      <c r="K84" s="42"/>
      <c r="L84" s="15"/>
      <c r="M84" s="15"/>
      <c r="N84" s="15"/>
      <c r="O84" s="15"/>
      <c r="P84" s="15"/>
      <c r="Q84" s="15"/>
      <c r="R84" s="15"/>
      <c r="S84" s="15"/>
      <c r="T84" s="15"/>
      <c r="U84" s="15"/>
    </row>
    <row r="89" spans="1:44">
      <c r="V89" s="4">
        <v>250181</v>
      </c>
      <c r="W89" s="4">
        <v>253530</v>
      </c>
      <c r="X89" s="4">
        <v>256922</v>
      </c>
      <c r="Y89" s="4">
        <v>260282</v>
      </c>
      <c r="Z89" s="4">
        <v>263455</v>
      </c>
      <c r="AA89" s="4">
        <v>266588</v>
      </c>
      <c r="AB89" s="4">
        <v>269714</v>
      </c>
      <c r="AC89" s="4">
        <v>272958</v>
      </c>
      <c r="AD89" s="4">
        <v>276154</v>
      </c>
      <c r="AE89" s="4">
        <v>279328</v>
      </c>
      <c r="AF89" s="4">
        <v>282398</v>
      </c>
      <c r="AG89" s="4">
        <v>285225</v>
      </c>
      <c r="AH89" s="4">
        <v>287955</v>
      </c>
      <c r="AI89" s="4">
        <v>290626</v>
      </c>
      <c r="AJ89" s="4">
        <v>293262</v>
      </c>
      <c r="AK89" s="4">
        <v>295993</v>
      </c>
      <c r="AL89" s="4">
        <v>298818</v>
      </c>
      <c r="AM89" s="4">
        <v>301696</v>
      </c>
      <c r="AN89" s="4">
        <v>304543</v>
      </c>
      <c r="AO89" s="4">
        <v>307240</v>
      </c>
      <c r="AP89" s="4">
        <v>309776</v>
      </c>
      <c r="AQ89" s="4">
        <v>312036</v>
      </c>
      <c r="AR89" s="4">
        <v>314278</v>
      </c>
    </row>
  </sheetData>
  <mergeCells count="8">
    <mergeCell ref="A1:J1"/>
    <mergeCell ref="L1:U1"/>
    <mergeCell ref="A67:J67"/>
    <mergeCell ref="A68:J68"/>
    <mergeCell ref="A69:J69"/>
    <mergeCell ref="L56:U56"/>
    <mergeCell ref="L57:U57"/>
    <mergeCell ref="L58:U58"/>
  </mergeCells>
  <pageMargins left="0.7" right="0.7" top="0.75" bottom="0.75" header="0.3" footer="0.3"/>
  <pageSetup scale="59"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sheetPr codeName="Sheet16"/>
  <dimension ref="A1:AI103"/>
  <sheetViews>
    <sheetView view="pageBreakPreview" zoomScaleSheetLayoutView="100" workbookViewId="0">
      <selection activeCell="Q35" sqref="Q35"/>
    </sheetView>
  </sheetViews>
  <sheetFormatPr defaultRowHeight="15"/>
  <cols>
    <col min="1" max="1" width="11.42578125" style="15" customWidth="1"/>
    <col min="2" max="8" width="14.28515625" style="15" customWidth="1"/>
    <col min="9" max="10" width="9.140625" style="15"/>
    <col min="11" max="11" width="9.140625" style="42"/>
    <col min="12" max="12" width="9.140625" style="15"/>
    <col min="13" max="21" width="14.28515625" style="15" customWidth="1"/>
    <col min="22" max="16384" width="9.140625" style="15"/>
  </cols>
  <sheetData>
    <row r="1" spans="1:21">
      <c r="A1" s="199" t="s">
        <v>237</v>
      </c>
      <c r="B1" s="199"/>
      <c r="C1" s="199"/>
      <c r="D1" s="199"/>
      <c r="E1" s="199"/>
      <c r="F1" s="199"/>
      <c r="G1" s="199"/>
      <c r="H1" s="199"/>
      <c r="I1" s="199"/>
      <c r="J1" s="199"/>
      <c r="L1" s="199" t="s">
        <v>238</v>
      </c>
      <c r="M1" s="199"/>
      <c r="N1" s="199"/>
      <c r="O1" s="199"/>
      <c r="P1" s="199"/>
      <c r="Q1" s="199"/>
      <c r="R1" s="199"/>
      <c r="S1" s="199"/>
      <c r="T1" s="199"/>
      <c r="U1" s="199"/>
    </row>
    <row r="2" spans="1:21" ht="75">
      <c r="A2" s="113" t="s">
        <v>39</v>
      </c>
      <c r="B2" s="47" t="s">
        <v>40</v>
      </c>
      <c r="C2" s="47" t="s">
        <v>0</v>
      </c>
      <c r="D2" s="47" t="s">
        <v>2</v>
      </c>
      <c r="E2" s="47" t="s">
        <v>6</v>
      </c>
      <c r="F2" s="47" t="s">
        <v>3</v>
      </c>
      <c r="G2" s="47" t="s">
        <v>4</v>
      </c>
      <c r="H2" s="47" t="s">
        <v>5</v>
      </c>
      <c r="I2" s="47" t="s">
        <v>1</v>
      </c>
      <c r="J2" s="47" t="s">
        <v>10</v>
      </c>
      <c r="K2" s="47"/>
      <c r="L2" s="113" t="s">
        <v>39</v>
      </c>
      <c r="M2" s="47" t="s">
        <v>47</v>
      </c>
      <c r="N2" s="47" t="s">
        <v>0</v>
      </c>
      <c r="O2" s="47" t="s">
        <v>12</v>
      </c>
      <c r="P2" s="47" t="s">
        <v>16</v>
      </c>
      <c r="Q2" s="47" t="s">
        <v>3</v>
      </c>
      <c r="R2" s="47" t="s">
        <v>9</v>
      </c>
      <c r="S2" s="47" t="s">
        <v>11</v>
      </c>
      <c r="T2" s="47" t="s">
        <v>8</v>
      </c>
      <c r="U2" s="47" t="s">
        <v>10</v>
      </c>
    </row>
    <row r="3" spans="1:21">
      <c r="A3" s="203"/>
      <c r="B3" s="9"/>
      <c r="C3" s="13" t="s">
        <v>17</v>
      </c>
      <c r="D3" s="13" t="s">
        <v>18</v>
      </c>
      <c r="E3" s="13" t="s">
        <v>19</v>
      </c>
      <c r="F3" s="13" t="s">
        <v>20</v>
      </c>
      <c r="G3" s="13" t="s">
        <v>21</v>
      </c>
      <c r="H3" s="13" t="s">
        <v>22</v>
      </c>
      <c r="I3" s="13" t="s">
        <v>23</v>
      </c>
      <c r="J3" s="13" t="s">
        <v>24</v>
      </c>
      <c r="K3" s="13"/>
      <c r="L3" s="203"/>
      <c r="M3" s="203"/>
      <c r="N3" s="13" t="s">
        <v>17</v>
      </c>
      <c r="O3" s="13" t="s">
        <v>18</v>
      </c>
      <c r="P3" s="13" t="s">
        <v>19</v>
      </c>
      <c r="Q3" s="13" t="s">
        <v>20</v>
      </c>
      <c r="R3" s="13" t="s">
        <v>21</v>
      </c>
      <c r="S3" s="13" t="s">
        <v>22</v>
      </c>
      <c r="T3" s="13" t="s">
        <v>23</v>
      </c>
      <c r="U3" s="13" t="s">
        <v>24</v>
      </c>
    </row>
    <row r="4" spans="1:21">
      <c r="A4" s="204">
        <v>1969</v>
      </c>
      <c r="B4" s="45">
        <v>202736</v>
      </c>
      <c r="C4" s="45">
        <f>'6'!B4/'10'!B4*10^6</f>
        <v>24377.022334464527</v>
      </c>
      <c r="D4" s="45">
        <f>'6'!C4/'10'!$B4*10^6</f>
        <v>24339.04190671612</v>
      </c>
      <c r="E4" s="45">
        <f>'6'!D4/'10'!$B4*10^6</f>
        <v>24567.417725514955</v>
      </c>
      <c r="F4" s="45">
        <f>'6'!E4/'10'!$B4*10^6</f>
        <v>24529.437297766552</v>
      </c>
      <c r="G4" s="45">
        <f>'6'!F4/'10'!$B4*10^6</f>
        <v>22213.617709730883</v>
      </c>
      <c r="H4" s="45">
        <f>'6'!G4/'10'!$B4*10^6</f>
        <v>22174.157525057217</v>
      </c>
      <c r="I4" s="45">
        <f>'6'!H4/'10'!$B4*10^6</f>
        <v>22406.972614631835</v>
      </c>
      <c r="J4" s="45">
        <f>'6'!I4/'10'!$B4*10^6</f>
        <v>22296.075981121405</v>
      </c>
      <c r="K4" s="45"/>
      <c r="L4" s="204">
        <v>1981</v>
      </c>
      <c r="M4" s="45">
        <v>24784554</v>
      </c>
      <c r="N4" s="45">
        <f>(10^9)*'6'!L4/'10'!$M4</f>
        <v>35158.843286024028</v>
      </c>
      <c r="O4" s="45">
        <f>(10^9)*'6'!M4/'10'!$M4</f>
        <v>34078.412813361472</v>
      </c>
      <c r="P4" s="45">
        <f>(10^9)*'6'!N4/'10'!$M4</f>
        <v>33984.82970559728</v>
      </c>
      <c r="Q4" s="45">
        <f>(10^9)*'6'!O4/'10'!$M4</f>
        <v>32940.476644165057</v>
      </c>
      <c r="R4" s="45">
        <f>(10^9)*'6'!P4/'10'!$M4</f>
        <v>-4388570.4843568085</v>
      </c>
      <c r="S4" s="45">
        <f>(10^9)*'6'!Q4/'10'!$M4</f>
        <v>28739.641877116137</v>
      </c>
      <c r="T4" s="45">
        <f>(10^9)*'6'!R4/'10'!$M4</f>
        <v>-4389744.497937236</v>
      </c>
      <c r="U4" s="45">
        <f>(10^9)*'6'!S4/'10'!$M4</f>
        <v>27601.705707919715</v>
      </c>
    </row>
    <row r="5" spans="1:21">
      <c r="A5" s="204">
        <v>1970</v>
      </c>
      <c r="B5" s="45">
        <v>205089</v>
      </c>
      <c r="C5" s="45">
        <f>'6'!B5/'10'!B5*10^6</f>
        <v>24142.201678295765</v>
      </c>
      <c r="D5" s="45">
        <f>'6'!C5/'10'!$B5*10^6</f>
        <v>24021.766160057341</v>
      </c>
      <c r="E5" s="45">
        <f>'6'!D5/'10'!$B5*10^6</f>
        <v>24328.462277352759</v>
      </c>
      <c r="F5" s="45">
        <f>'6'!E5/'10'!$B5*10^6</f>
        <v>24208.514352305581</v>
      </c>
      <c r="G5" s="45">
        <f>'6'!F5/'10'!$B5*10^6</f>
        <v>21872.942966224418</v>
      </c>
      <c r="H5" s="45">
        <f>'6'!G5/'10'!$B5*10^6</f>
        <v>21748.11910926476</v>
      </c>
      <c r="I5" s="45">
        <f>'6'!H5/'10'!$B5*10^6</f>
        <v>22062.129124428906</v>
      </c>
      <c r="J5" s="45">
        <f>'6'!I5/'10'!$B5*10^6</f>
        <v>21937.854656123392</v>
      </c>
      <c r="K5" s="45"/>
      <c r="L5" s="204">
        <v>1982</v>
      </c>
      <c r="M5" s="45">
        <v>25082944.5</v>
      </c>
      <c r="N5" s="45">
        <f>(10^9)*'6'!L5/'10'!$M5</f>
        <v>33632.943293400022</v>
      </c>
      <c r="O5" s="45">
        <f>(10^9)*'6'!M5/'10'!$M5</f>
        <v>32391.69048561246</v>
      </c>
      <c r="P5" s="45">
        <f>(10^9)*'6'!N5/'10'!$M5</f>
        <v>32471.313334992981</v>
      </c>
      <c r="Q5" s="45">
        <f>(10^9)*'6'!O5/'10'!$M5</f>
        <v>31272.931483663331</v>
      </c>
      <c r="R5" s="45">
        <f>(10^9)*'6'!P5/'10'!$M5</f>
        <v>-4565026.9601663975</v>
      </c>
      <c r="S5" s="45">
        <f>(10^9)*'6'!Q5/'10'!$M5</f>
        <v>26986.566625520496</v>
      </c>
      <c r="T5" s="45">
        <f>(10^9)*'6'!R5/'10'!$M5</f>
        <v>-4566188.5901248055</v>
      </c>
      <c r="U5" s="45">
        <f>(10^9)*'6'!S5/'10'!$M5</f>
        <v>25867.80762357136</v>
      </c>
    </row>
    <row r="6" spans="1:21">
      <c r="A6" s="204">
        <v>1971</v>
      </c>
      <c r="B6" s="45">
        <v>207692</v>
      </c>
      <c r="C6" s="45">
        <f>'6'!B6/'10'!B6*10^6</f>
        <v>24624.44388806502</v>
      </c>
      <c r="D6" s="45">
        <f>'6'!C6/'10'!$B6*10^6</f>
        <v>24423.184330643453</v>
      </c>
      <c r="E6" s="45">
        <f>'6'!D6/'10'!$B6*10^6</f>
        <v>24827.147892070949</v>
      </c>
      <c r="F6" s="45">
        <f>'6'!E6/'10'!$B6*10^6</f>
        <v>24625.406852454595</v>
      </c>
      <c r="G6" s="45">
        <f>'6'!F6/'10'!$B6*10^6</f>
        <v>22305.144155769121</v>
      </c>
      <c r="H6" s="45">
        <f>'6'!G6/'10'!$B6*10^6</f>
        <v>22096.180883230936</v>
      </c>
      <c r="I6" s="45">
        <f>'6'!H6/'10'!$B6*10^6</f>
        <v>22511.218535138567</v>
      </c>
      <c r="J6" s="45">
        <f>'6'!I6/'10'!$B6*10^6</f>
        <v>22349.071490519953</v>
      </c>
      <c r="K6" s="45"/>
      <c r="L6" s="204">
        <v>1983</v>
      </c>
      <c r="M6" s="45">
        <v>25335950.75</v>
      </c>
      <c r="N6" s="45">
        <f>(10^9)*'6'!L6/'10'!$M6</f>
        <v>34163.272913687681</v>
      </c>
      <c r="O6" s="45">
        <f>(10^9)*'6'!M6/'10'!$M6</f>
        <v>32945.25494709632</v>
      </c>
      <c r="P6" s="45">
        <f>(10^9)*'6'!N6/'10'!$M6</f>
        <v>33162.160273874353</v>
      </c>
      <c r="Q6" s="45">
        <f>(10^9)*'6'!O6/'10'!$M6</f>
        <v>31979.834823774465</v>
      </c>
      <c r="R6" s="45">
        <f>(10^9)*'6'!P6/'10'!$M6</f>
        <v>-4648340.3896363592</v>
      </c>
      <c r="S6" s="45">
        <f>(10^9)*'6'!Q6/'10'!$M6</f>
        <v>27643.654953497193</v>
      </c>
      <c r="T6" s="45">
        <f>(10^9)*'6'!R6/'10'!$M6</f>
        <v>-4649341.5022761719</v>
      </c>
      <c r="U6" s="45">
        <f>(10^9)*'6'!S6/'10'!$M6</f>
        <v>26678.234830175352</v>
      </c>
    </row>
    <row r="7" spans="1:21">
      <c r="A7" s="204">
        <v>1972</v>
      </c>
      <c r="B7" s="45">
        <v>209924</v>
      </c>
      <c r="C7" s="45">
        <f>'6'!B7/'10'!B7*10^6</f>
        <v>25644.042605895469</v>
      </c>
      <c r="D7" s="45">
        <f>'6'!C7/'10'!$B7*10^6</f>
        <v>25500.181017892191</v>
      </c>
      <c r="E7" s="45">
        <f>'6'!D7/'10'!$B7*10^6</f>
        <v>25858.882262152016</v>
      </c>
      <c r="F7" s="45">
        <f>'6'!E7/'10'!$B7*10^6</f>
        <v>25715.020674148738</v>
      </c>
      <c r="G7" s="45">
        <f>'6'!F7/'10'!$B7*10^6</f>
        <v>23277.948209828322</v>
      </c>
      <c r="H7" s="45">
        <f>'6'!G7/'10'!$B7*10^6</f>
        <v>23128.846630209027</v>
      </c>
      <c r="I7" s="45">
        <f>'6'!H7/'10'!$B7*10^6</f>
        <v>23496.598769078333</v>
      </c>
      <c r="J7" s="45">
        <f>'6'!I7/'10'!$B7*10^6</f>
        <v>23296.065382266093</v>
      </c>
      <c r="K7" s="45"/>
      <c r="L7" s="204">
        <v>1984</v>
      </c>
      <c r="M7" s="45">
        <v>25576735</v>
      </c>
      <c r="N7" s="45">
        <f>(10^9)*'6'!L7/'10'!$M7</f>
        <v>35841.459044713876</v>
      </c>
      <c r="O7" s="45">
        <f>(10^9)*'6'!M7/'10'!$M7</f>
        <v>34346.833053434697</v>
      </c>
      <c r="P7" s="45">
        <f>(10^9)*'6'!N7/'10'!$M7</f>
        <v>34732.265270173259</v>
      </c>
      <c r="Q7" s="45">
        <f>(10^9)*'6'!O7/'10'!$M7</f>
        <v>33283.893808954512</v>
      </c>
      <c r="R7" s="45">
        <f>(10^9)*'6'!P7/'10'!$M7</f>
        <v>-4745622.9894446777</v>
      </c>
      <c r="S7" s="45">
        <f>(10^9)*'6'!Q7/'10'!$M7</f>
        <v>28996.673305845477</v>
      </c>
      <c r="T7" s="45">
        <f>(10^9)*'6'!R7/'10'!$M7</f>
        <v>-4746732.1832192186</v>
      </c>
      <c r="U7" s="45">
        <f>(10^9)*'6'!S7/'10'!$M7</f>
        <v>27933.734061365292</v>
      </c>
    </row>
    <row r="8" spans="1:21">
      <c r="A8" s="204">
        <v>1973</v>
      </c>
      <c r="B8" s="45">
        <v>211939</v>
      </c>
      <c r="C8" s="45">
        <f>'6'!B8/'10'!B8*10^6</f>
        <v>26834.136237313567</v>
      </c>
      <c r="D8" s="45">
        <f>'6'!C8/'10'!$B8*10^6</f>
        <v>26718.53693751504</v>
      </c>
      <c r="E8" s="45">
        <f>'6'!D8/'10'!$B8*10^6</f>
        <v>27113.461892336945</v>
      </c>
      <c r="F8" s="45">
        <f>'6'!E8/'10'!$B8*10^6</f>
        <v>26997.390758661692</v>
      </c>
      <c r="G8" s="45">
        <f>'6'!F8/'10'!$B8*10^6</f>
        <v>24379.184576694235</v>
      </c>
      <c r="H8" s="45">
        <f>'6'!G8/'10'!$B8*10^6</f>
        <v>24258.866938128423</v>
      </c>
      <c r="I8" s="45">
        <f>'6'!H8/'10'!$B8*10^6</f>
        <v>24664.644072115087</v>
      </c>
      <c r="J8" s="45">
        <f>'6'!I8/'10'!$B8*10^6</f>
        <v>24391.642075715452</v>
      </c>
      <c r="K8" s="45"/>
      <c r="L8" s="204">
        <v>1985</v>
      </c>
      <c r="M8" s="45">
        <v>25813200</v>
      </c>
      <c r="N8" s="45">
        <f>(10^9)*'6'!L8/'10'!$M8</f>
        <v>37195.611160181616</v>
      </c>
      <c r="O8" s="45">
        <f>(10^9)*'6'!M8/'10'!$M8</f>
        <v>35530.594297704672</v>
      </c>
      <c r="P8" s="45">
        <f>(10^9)*'6'!N8/'10'!$M8</f>
        <v>36058.809972729308</v>
      </c>
      <c r="Q8" s="45">
        <f>(10^9)*'6'!O8/'10'!$M8</f>
        <v>34444.680650135524</v>
      </c>
      <c r="R8" s="45">
        <f>(10^9)*'6'!P8/'10'!$M8</f>
        <v>-4889030.8522371259</v>
      </c>
      <c r="S8" s="45">
        <f>(10^9)*'6'!Q8/'10'!$M8</f>
        <v>30080.845489520674</v>
      </c>
      <c r="T8" s="45">
        <f>(10^9)*'6'!R8/'10'!$M8</f>
        <v>-4890167.6534245778</v>
      </c>
      <c r="U8" s="45">
        <f>(10^9)*'6'!S8/'10'!$M8</f>
        <v>28994.931841951529</v>
      </c>
    </row>
    <row r="9" spans="1:21">
      <c r="A9" s="204">
        <v>1974</v>
      </c>
      <c r="B9" s="45">
        <v>213898</v>
      </c>
      <c r="C9" s="45">
        <f>'6'!B9/'10'!B9*10^6</f>
        <v>26444.847544156561</v>
      </c>
      <c r="D9" s="45">
        <f>'6'!C9/'10'!$B9*10^6</f>
        <v>26317.216617266175</v>
      </c>
      <c r="E9" s="45">
        <f>'6'!D9/'10'!$B9*10^6</f>
        <v>26756.210904262782</v>
      </c>
      <c r="F9" s="45">
        <f>'6'!E9/'10'!$B9*10^6</f>
        <v>26628.112464819678</v>
      </c>
      <c r="G9" s="45">
        <f>'6'!F9/'10'!$B9*10^6</f>
        <v>23858.100590000839</v>
      </c>
      <c r="H9" s="45">
        <f>'6'!G9/'10'!$B9*10^6</f>
        <v>23725.327025030623</v>
      </c>
      <c r="I9" s="45">
        <f>'6'!H9/'10'!$B9*10^6</f>
        <v>24176.476638397744</v>
      </c>
      <c r="J9" s="45">
        <f>'6'!I9/'10'!$B9*10^6</f>
        <v>23590.818274266017</v>
      </c>
      <c r="K9" s="45"/>
      <c r="L9" s="204">
        <v>1986</v>
      </c>
      <c r="M9" s="45">
        <v>26067486.5</v>
      </c>
      <c r="N9" s="45">
        <f>(10^9)*'6'!L9/'10'!$M9</f>
        <v>37622.336545566061</v>
      </c>
      <c r="O9" s="45">
        <f>(10^9)*'6'!M9/'10'!$M9</f>
        <v>35651.678918453021</v>
      </c>
      <c r="P9" s="45">
        <f>(10^9)*'6'!N9/'10'!$M9</f>
        <v>36356.189915540977</v>
      </c>
      <c r="Q9" s="45">
        <f>(10^9)*'6'!O9/'10'!$M9</f>
        <v>34451.853036754677</v>
      </c>
      <c r="R9" s="45">
        <f>(10^9)*'6'!P9/'10'!$M9</f>
        <v>-4982693.6862544324</v>
      </c>
      <c r="S9" s="45">
        <f>(10^9)*'6'!Q9/'10'!$M9</f>
        <v>30155.280819417498</v>
      </c>
      <c r="T9" s="45">
        <f>(10^9)*'6'!R9/'10'!$M9</f>
        <v>-4983959.8328844579</v>
      </c>
      <c r="U9" s="45">
        <f>(10^9)*'6'!S9/'10'!$M9</f>
        <v>28955.454937719154</v>
      </c>
    </row>
    <row r="10" spans="1:21">
      <c r="A10" s="204">
        <v>1975</v>
      </c>
      <c r="B10" s="45">
        <v>215981</v>
      </c>
      <c r="C10" s="45">
        <f>'6'!B10/'10'!B10*10^6</f>
        <v>26135.63230098944</v>
      </c>
      <c r="D10" s="45">
        <f>'6'!C10/'10'!$B10*10^6</f>
        <v>25928.669651497126</v>
      </c>
      <c r="E10" s="45">
        <f>'6'!D10/'10'!$B10*10^6</f>
        <v>26380.561253073189</v>
      </c>
      <c r="F10" s="45">
        <f>'6'!E10/'10'!$B10*10^6</f>
        <v>26173.135599890731</v>
      </c>
      <c r="G10" s="45">
        <f>'6'!F10/'10'!$B10*10^6</f>
        <v>23455.303938772391</v>
      </c>
      <c r="H10" s="45">
        <f>'6'!G10/'10'!$B10*10^6</f>
        <v>23238.61821178715</v>
      </c>
      <c r="I10" s="45">
        <f>'6'!H10/'10'!$B10*10^6</f>
        <v>23703.936920377255</v>
      </c>
      <c r="J10" s="45">
        <f>'6'!I10/'10'!$B10*10^6</f>
        <v>23071.929026170506</v>
      </c>
      <c r="K10" s="45"/>
      <c r="L10" s="204">
        <v>1987</v>
      </c>
      <c r="M10" s="45">
        <v>26397870.25</v>
      </c>
      <c r="N10" s="45">
        <f>(10^9)*'6'!L10/'10'!$M10</f>
        <v>38664.388086383595</v>
      </c>
      <c r="O10" s="45">
        <f>(10^9)*'6'!M10/'10'!$M10</f>
        <v>36858.069064969204</v>
      </c>
      <c r="P10" s="45">
        <f>(10^9)*'6'!N10/'10'!$M10</f>
        <v>37472.466078417019</v>
      </c>
      <c r="Q10" s="45">
        <f>(10^9)*'6'!O10/'10'!$M10</f>
        <v>35721.831150339945</v>
      </c>
      <c r="R10" s="45">
        <f>(10^9)*'6'!P10/'10'!$M10</f>
        <v>-5007212.9091848042</v>
      </c>
      <c r="S10" s="45">
        <f>(10^9)*'6'!Q10/'10'!$M10</f>
        <v>31349.76991498084</v>
      </c>
      <c r="T10" s="45">
        <f>(10^9)*'6'!R10/'10'!$M10</f>
        <v>-5008404.83119277</v>
      </c>
      <c r="U10" s="45">
        <f>(10^9)*'6'!S10/'10'!$M10</f>
        <v>30213.532000351574</v>
      </c>
    </row>
    <row r="11" spans="1:21">
      <c r="A11" s="204">
        <v>1976</v>
      </c>
      <c r="B11" s="45">
        <v>218086</v>
      </c>
      <c r="C11" s="45">
        <f>'6'!B11/'10'!B11*10^6</f>
        <v>27278.229689205178</v>
      </c>
      <c r="D11" s="45">
        <f>'6'!C11/'10'!$B11*10^6</f>
        <v>26977.430921746465</v>
      </c>
      <c r="E11" s="45">
        <f>'6'!D11/'10'!$B11*10^6</f>
        <v>27563.438276643159</v>
      </c>
      <c r="F11" s="45">
        <f>'6'!E11/'10'!$B11*10^6</f>
        <v>27262.180974477957</v>
      </c>
      <c r="G11" s="45">
        <f>'6'!F11/'10'!$B11*10^6</f>
        <v>24572.41638619627</v>
      </c>
      <c r="H11" s="45">
        <f>'6'!G11/'10'!$B11*10^6</f>
        <v>24257.403042836311</v>
      </c>
      <c r="I11" s="45">
        <f>'6'!H11/'10'!$B11*10^6</f>
        <v>24863.12739011216</v>
      </c>
      <c r="J11" s="45">
        <f>'6'!I11/'10'!$B11*10^6</f>
        <v>24182.598491663801</v>
      </c>
      <c r="K11" s="45"/>
      <c r="L11" s="204">
        <v>1988</v>
      </c>
      <c r="M11" s="45">
        <v>26751473.75</v>
      </c>
      <c r="N11" s="45">
        <f>(10^9)*'6'!L11/'10'!$M11</f>
        <v>39835.98286804666</v>
      </c>
      <c r="O11" s="45">
        <f>(10^9)*'6'!M11/'10'!$M11</f>
        <v>38235.062692884458</v>
      </c>
      <c r="P11" s="45">
        <f>(10^9)*'6'!N11/'10'!$M11</f>
        <v>38546.318460209477</v>
      </c>
      <c r="Q11" s="45">
        <f>(10^9)*'6'!O11/'10'!$M11</f>
        <v>36997.227049421796</v>
      </c>
      <c r="R11" s="45">
        <f>(10^9)*'6'!P11/'10'!$M11</f>
        <v>-5120903.5045171864</v>
      </c>
      <c r="S11" s="45">
        <f>(10^9)*'6'!Q11/'10'!$M11</f>
        <v>32617.807847275981</v>
      </c>
      <c r="T11" s="45">
        <f>(10^9)*'6'!R11/'10'!$M11</f>
        <v>-5122193.1689250255</v>
      </c>
      <c r="U11" s="45">
        <f>(10^9)*'6'!S11/'10'!$M11</f>
        <v>31379.972203813308</v>
      </c>
    </row>
    <row r="12" spans="1:21">
      <c r="A12" s="204">
        <v>1977</v>
      </c>
      <c r="B12" s="45">
        <v>220289</v>
      </c>
      <c r="C12" s="45">
        <f>'6'!B12/'10'!B12*10^6</f>
        <v>28254.247828988286</v>
      </c>
      <c r="D12" s="45">
        <f>'6'!C12/'10'!$B12*10^6</f>
        <v>27990.049435060308</v>
      </c>
      <c r="E12" s="45">
        <f>'6'!D12/'10'!$B12*10^6</f>
        <v>28569.288525527827</v>
      </c>
      <c r="F12" s="45">
        <f>'6'!E12/'10'!$B12*10^6</f>
        <v>28305.090131599853</v>
      </c>
      <c r="G12" s="45">
        <f>'6'!F12/'10'!$B12*10^6</f>
        <v>25482.434438396835</v>
      </c>
      <c r="H12" s="45">
        <f>'6'!G12/'10'!$B12*10^6</f>
        <v>25205.525468815966</v>
      </c>
      <c r="I12" s="45">
        <f>'6'!H12/'10'!$B12*10^6</f>
        <v>25804.284371893285</v>
      </c>
      <c r="J12" s="45">
        <f>'6'!I12/'10'!$B12*10^6</f>
        <v>24961.073125199684</v>
      </c>
      <c r="K12" s="45"/>
      <c r="L12" s="204">
        <v>1989</v>
      </c>
      <c r="M12" s="45">
        <v>27214902</v>
      </c>
      <c r="N12" s="45">
        <f>(10^9)*'6'!L12/'10'!$M12</f>
        <v>40065.04414382972</v>
      </c>
      <c r="O12" s="45">
        <f>(10^9)*'6'!M12/'10'!$M12</f>
        <v>38558.952881361118</v>
      </c>
      <c r="P12" s="45">
        <f>(10^9)*'6'!N12/'10'!$M12</f>
        <v>38687.457195207826</v>
      </c>
      <c r="Q12" s="45">
        <f>(10^9)*'6'!O12/'10'!$M12</f>
        <v>37233.151016493568</v>
      </c>
      <c r="R12" s="45">
        <f>(10^9)*'6'!P12/'10'!$M12</f>
        <v>-5276587.6471188124</v>
      </c>
      <c r="S12" s="45">
        <f>(10^9)*'6'!Q12/'10'!$M12</f>
        <v>32830.175138126731</v>
      </c>
      <c r="T12" s="45">
        <f>(10^9)*'6'!R12/'10'!$M12</f>
        <v>-5277965.2340674344</v>
      </c>
      <c r="U12" s="45">
        <f>(10^9)*'6'!S12/'10'!$M12</f>
        <v>31504.373273259178</v>
      </c>
    </row>
    <row r="13" spans="1:21">
      <c r="A13" s="204">
        <v>1978</v>
      </c>
      <c r="B13" s="45">
        <v>222629</v>
      </c>
      <c r="C13" s="45">
        <f>'6'!B13/'10'!B13*10^6</f>
        <v>29504.691661912871</v>
      </c>
      <c r="D13" s="45">
        <f>'6'!C13/'10'!$B13*10^6</f>
        <v>29212.276927084971</v>
      </c>
      <c r="E13" s="45">
        <f>'6'!D13/'10'!$B13*10^6</f>
        <v>29815.522685723783</v>
      </c>
      <c r="F13" s="45">
        <f>'6'!E13/'10'!$B13*10^6</f>
        <v>29522.658773115814</v>
      </c>
      <c r="G13" s="45">
        <f>'6'!F13/'10'!$B13*10^6</f>
        <v>26653.760291785886</v>
      </c>
      <c r="H13" s="45">
        <f>'6'!G13/'10'!$B13*10^6</f>
        <v>26346.522690215559</v>
      </c>
      <c r="I13" s="45">
        <f>'6'!H13/'10'!$B13*10^6</f>
        <v>26971.328982297906</v>
      </c>
      <c r="J13" s="45">
        <f>'6'!I13/'10'!$B13*10^6</f>
        <v>26024.175625262927</v>
      </c>
      <c r="K13" s="45"/>
      <c r="L13" s="204">
        <v>1990</v>
      </c>
      <c r="M13" s="45">
        <v>27632360</v>
      </c>
      <c r="N13" s="45">
        <f>(10^9)*'6'!L13/'10'!$M13</f>
        <v>39524.293256167766</v>
      </c>
      <c r="O13" s="45">
        <f>(10^9)*'6'!M13/'10'!$M13</f>
        <v>37864.631525524186</v>
      </c>
      <c r="P13" s="45">
        <f>(10^9)*'6'!N13/'10'!$M13</f>
        <v>38102.074058643069</v>
      </c>
      <c r="Q13" s="45">
        <f>(10^9)*'6'!O13/'10'!$M13</f>
        <v>36502.132631141161</v>
      </c>
      <c r="R13" s="45">
        <f>(10^9)*'6'!P13/'10'!$M13</f>
        <v>-5476964.7616984444</v>
      </c>
      <c r="S13" s="45">
        <f>(10^9)*'6'!Q13/'10'!$M13</f>
        <v>32063.095335787511</v>
      </c>
      <c r="T13" s="45">
        <f>(10^9)*'6'!R13/'10'!$M13</f>
        <v>-5478386.9808959691</v>
      </c>
      <c r="U13" s="45">
        <f>(10^9)*'6'!S13/'10'!$M13</f>
        <v>30700.59644140449</v>
      </c>
    </row>
    <row r="14" spans="1:21">
      <c r="A14" s="204">
        <v>1979</v>
      </c>
      <c r="B14" s="45">
        <v>225106</v>
      </c>
      <c r="C14" s="45">
        <f>'6'!B14/'10'!B14*10^6</f>
        <v>30104.039874547991</v>
      </c>
      <c r="D14" s="45">
        <f>'6'!C14/'10'!$B14*10^6</f>
        <v>29587.394383090636</v>
      </c>
      <c r="E14" s="45">
        <f>'6'!D14/'10'!$B14*10^6</f>
        <v>30510.51504624488</v>
      </c>
      <c r="F14" s="45">
        <f>'6'!E14/'10'!$B14*10^6</f>
        <v>29993.425319627197</v>
      </c>
      <c r="G14" s="45">
        <f>'6'!F14/'10'!$B14*10^6</f>
        <v>27119.668067488205</v>
      </c>
      <c r="H14" s="45">
        <f>'6'!G14/'10'!$B14*10^6</f>
        <v>26577.256936732028</v>
      </c>
      <c r="I14" s="45">
        <f>'6'!H14/'10'!$B14*10^6</f>
        <v>27536.804883032881</v>
      </c>
      <c r="J14" s="45">
        <f>'6'!I14/'10'!$B14*10^6</f>
        <v>26430.673628177192</v>
      </c>
      <c r="K14" s="45"/>
      <c r="L14" s="204">
        <v>1991</v>
      </c>
      <c r="M14" s="45">
        <v>27987111.25</v>
      </c>
      <c r="N14" s="45">
        <f>(10^9)*'6'!L14/'10'!$M14</f>
        <v>38209.347168690016</v>
      </c>
      <c r="O14" s="45">
        <f>(10^9)*'6'!M14/'10'!$M14</f>
        <v>36501.659179976668</v>
      </c>
      <c r="P14" s="45">
        <f>(10^9)*'6'!N14/'10'!$M14</f>
        <v>36943.054531877453</v>
      </c>
      <c r="Q14" s="45">
        <f>(10^9)*'6'!O14/'10'!$M14</f>
        <v>35291.960881626212</v>
      </c>
      <c r="R14" s="45">
        <f>(10^9)*'6'!P14/'10'!$M14</f>
        <v>-5549385.511040464</v>
      </c>
      <c r="S14" s="45">
        <f>(10^9)*'6'!Q14/'10'!$M14</f>
        <v>30907.929360945614</v>
      </c>
      <c r="T14" s="45">
        <f>(10^9)*'6'!R14/'10'!$M14</f>
        <v>-5550651.8036772767</v>
      </c>
      <c r="U14" s="45">
        <f>(10^9)*'6'!S14/'10'!$M14</f>
        <v>29698.231062595154</v>
      </c>
    </row>
    <row r="15" spans="1:21">
      <c r="A15" s="204">
        <v>1980</v>
      </c>
      <c r="B15" s="45">
        <v>227726</v>
      </c>
      <c r="C15" s="45">
        <f>'6'!B15/'10'!B15*10^6</f>
        <v>29681.28364789264</v>
      </c>
      <c r="D15" s="45">
        <f>'6'!C15/'10'!$B15*10^6</f>
        <v>29219.76410247403</v>
      </c>
      <c r="E15" s="45">
        <f>'6'!D15/'10'!$B15*10^6</f>
        <v>30079.130182763496</v>
      </c>
      <c r="F15" s="45">
        <f>'6'!E15/'10'!$B15*10^6</f>
        <v>29617.171513134206</v>
      </c>
      <c r="G15" s="45">
        <f>'6'!F15/'10'!$B15*10^6</f>
        <v>26530.128312094363</v>
      </c>
      <c r="H15" s="45">
        <f>'6'!G15/'10'!$B15*10^6</f>
        <v>26044.896059299335</v>
      </c>
      <c r="I15" s="45">
        <f>'6'!H15/'10'!$B15*10^6</f>
        <v>26938.513828021394</v>
      </c>
      <c r="J15" s="45">
        <f>'6'!I15/'10'!$B15*10^6</f>
        <v>25504.181737642935</v>
      </c>
      <c r="K15" s="45"/>
      <c r="L15" s="204">
        <v>1992</v>
      </c>
      <c r="M15" s="45">
        <v>28324154.25</v>
      </c>
      <c r="N15" s="45">
        <f>(10^9)*'6'!L15/'10'!$M15</f>
        <v>38094.676736905567</v>
      </c>
      <c r="O15" s="45">
        <f>(10^9)*'6'!M15/'10'!$M15</f>
        <v>36251.066160335205</v>
      </c>
      <c r="P15" s="45">
        <f>(10^9)*'6'!N15/'10'!$M15</f>
        <v>36729.060234257027</v>
      </c>
      <c r="Q15" s="45">
        <f>(10^9)*'6'!O15/'10'!$M15</f>
        <v>34951.539338541807</v>
      </c>
      <c r="R15" s="45">
        <f>(10^9)*'6'!P15/'10'!$M15</f>
        <v>-5623785.9389440985</v>
      </c>
      <c r="S15" s="45">
        <f>(10^9)*'6'!Q15/'10'!$M15</f>
        <v>30636.115234315821</v>
      </c>
      <c r="T15" s="45">
        <f>(10^9)*'6'!R15/'10'!$M15</f>
        <v>-5625151.5554467468</v>
      </c>
      <c r="U15" s="45">
        <f>(10^9)*'6'!S15/'10'!$M15</f>
        <v>29336.588412522437</v>
      </c>
    </row>
    <row r="16" spans="1:21">
      <c r="A16" s="204">
        <v>1981</v>
      </c>
      <c r="B16" s="45">
        <v>230008</v>
      </c>
      <c r="C16" s="45">
        <f>'6'!B16/'10'!B16*10^6</f>
        <v>30132.430176341692</v>
      </c>
      <c r="D16" s="45">
        <f>'6'!C16/'10'!$B16*10^6</f>
        <v>29774.616535077039</v>
      </c>
      <c r="E16" s="45">
        <f>'6'!D16/'10'!$B16*10^6</f>
        <v>30482.418002852075</v>
      </c>
      <c r="F16" s="45">
        <f>'6'!E16/'10'!$B16*10^6</f>
        <v>30124.169594101077</v>
      </c>
      <c r="G16" s="45">
        <f>'6'!F16/'10'!$B16*10^6</f>
        <v>26874.282633647526</v>
      </c>
      <c r="H16" s="45">
        <f>'6'!G16/'10'!$B16*10^6</f>
        <v>26497.773990469897</v>
      </c>
      <c r="I16" s="45">
        <f>'6'!H16/'10'!$B16*10^6</f>
        <v>27231.661507425826</v>
      </c>
      <c r="J16" s="45">
        <f>'6'!I16/'10'!$B16*10^6</f>
        <v>25842.894832022626</v>
      </c>
      <c r="K16" s="45"/>
      <c r="L16" s="204">
        <v>1993</v>
      </c>
      <c r="M16" s="45">
        <v>28651462.25</v>
      </c>
      <c r="N16" s="45">
        <f>(10^9)*'6'!L16/'10'!$M16</f>
        <v>38661.54335630811</v>
      </c>
      <c r="O16" s="45">
        <f>(10^9)*'6'!M16/'10'!$M16</f>
        <v>36601.687300195685</v>
      </c>
      <c r="P16" s="45">
        <f>(10^9)*'6'!N16/'10'!$M16</f>
        <v>37347.457151214541</v>
      </c>
      <c r="Q16" s="45">
        <f>(10^9)*'6'!O16/'10'!$M16</f>
        <v>35357.61455532199</v>
      </c>
      <c r="R16" s="45">
        <f>(10^9)*'6'!P16/'10'!$M16</f>
        <v>-5631247.6715698158</v>
      </c>
      <c r="S16" s="45">
        <f>(10^9)*'6'!Q16/'10'!$M16</f>
        <v>31007.451164608327</v>
      </c>
      <c r="T16" s="45">
        <f>(10^9)*'6'!R16/'10'!$M16</f>
        <v>-5632561.75777491</v>
      </c>
      <c r="U16" s="45">
        <f>(10^9)*'6'!S16/'10'!$M16</f>
        <v>29763.378419734639</v>
      </c>
    </row>
    <row r="17" spans="1:21">
      <c r="A17" s="204">
        <v>1982</v>
      </c>
      <c r="B17" s="45">
        <v>232218</v>
      </c>
      <c r="C17" s="45">
        <f>'6'!B17/'10'!B17*10^6</f>
        <v>29307.80559646539</v>
      </c>
      <c r="D17" s="45">
        <f>'6'!C17/'10'!$B17*10^6</f>
        <v>29230.292225408884</v>
      </c>
      <c r="E17" s="45">
        <f>'6'!D17/'10'!$B17*10^6</f>
        <v>29667.812142038943</v>
      </c>
      <c r="F17" s="45">
        <f>'6'!E17/'10'!$B17*10^6</f>
        <v>29589.868141143237</v>
      </c>
      <c r="G17" s="45">
        <f>'6'!F17/'10'!$B17*10^6</f>
        <v>25868.795700591687</v>
      </c>
      <c r="H17" s="45">
        <f>'6'!G17/'10'!$B17*10^6</f>
        <v>25787.406660982353</v>
      </c>
      <c r="I17" s="45">
        <f>'6'!H17/'10'!$B17*10^6</f>
        <v>26236.984213110092</v>
      </c>
      <c r="J17" s="45">
        <f>'6'!I17/'10'!$B17*10^6</f>
        <v>24984.386348998563</v>
      </c>
      <c r="K17" s="45"/>
      <c r="L17" s="204">
        <v>1994</v>
      </c>
      <c r="M17" s="45">
        <v>28960063.75</v>
      </c>
      <c r="N17" s="45">
        <f>(10^9)*'6'!L17/'10'!$M17</f>
        <v>39968.731077119955</v>
      </c>
      <c r="O17" s="45">
        <f>(10^9)*'6'!M17/'10'!$M17</f>
        <v>37747.461133756835</v>
      </c>
      <c r="P17" s="45">
        <f>(10^9)*'6'!N17/'10'!$M17</f>
        <v>38537.15062190246</v>
      </c>
      <c r="Q17" s="45">
        <f>(10^9)*'6'!O17/'10'!$M17</f>
        <v>36395.44103862546</v>
      </c>
      <c r="R17" s="45">
        <f>(10^9)*'6'!P17/'10'!$M17</f>
        <v>-5679021.7041525999</v>
      </c>
      <c r="S17" s="45">
        <f>(10^9)*'6'!Q17/'10'!$M17</f>
        <v>32013.98269959453</v>
      </c>
      <c r="T17" s="45">
        <f>(10^9)*'6'!R17/'10'!$M17</f>
        <v>-5680453.2846078174</v>
      </c>
      <c r="U17" s="45">
        <f>(10^9)*'6'!S17/'10'!$M17</f>
        <v>30661.962604463155</v>
      </c>
    </row>
    <row r="18" spans="1:21">
      <c r="A18" s="204">
        <v>1983</v>
      </c>
      <c r="B18" s="45">
        <v>234333</v>
      </c>
      <c r="C18" s="45">
        <f>'6'!B18/'10'!B18*10^6</f>
        <v>30374.296407249509</v>
      </c>
      <c r="D18" s="45">
        <f>'6'!C18/'10'!$B18*10^6</f>
        <v>29898.477807223051</v>
      </c>
      <c r="E18" s="45">
        <f>'6'!D18/'10'!$B18*10^6</f>
        <v>30722.945551842888</v>
      </c>
      <c r="F18" s="45">
        <f>'6'!E18/'10'!$B18*10^6</f>
        <v>30246.273465538357</v>
      </c>
      <c r="G18" s="45">
        <f>'6'!F18/'10'!$B18*10^6</f>
        <v>26870.308492615211</v>
      </c>
      <c r="H18" s="45">
        <f>'6'!G18/'10'!$B18*10^6</f>
        <v>26371.872506219781</v>
      </c>
      <c r="I18" s="45">
        <f>'6'!H18/'10'!$B18*10^6</f>
        <v>27226.212270572221</v>
      </c>
      <c r="J18" s="45">
        <f>'6'!I18/'10'!$B18*10^6</f>
        <v>26157.097600210604</v>
      </c>
      <c r="K18" s="45"/>
      <c r="L18" s="204">
        <v>1995</v>
      </c>
      <c r="M18" s="45">
        <v>29263007</v>
      </c>
      <c r="N18" s="45">
        <f>(10^9)*'6'!L18/'10'!$M18</f>
        <v>40619.783195896453</v>
      </c>
      <c r="O18" s="45">
        <f>(10^9)*'6'!M18/'10'!$M18</f>
        <v>38761.29409511188</v>
      </c>
      <c r="P18" s="45">
        <f>(10^9)*'6'!N18/'10'!$M18</f>
        <v>39220.451852721722</v>
      </c>
      <c r="Q18" s="45">
        <f>(10^9)*'6'!O18/'10'!$M18</f>
        <v>37425.986777795057</v>
      </c>
      <c r="R18" s="45">
        <f>(10^9)*'6'!P18/'10'!$M18</f>
        <v>-5821344.0850044508</v>
      </c>
      <c r="S18" s="45">
        <f>(10^9)*'6'!Q18/'10'!$M18</f>
        <v>32914.290611232587</v>
      </c>
      <c r="T18" s="45">
        <f>(10^9)*'6'!R18/'10'!$M18</f>
        <v>-5822743.4163476266</v>
      </c>
      <c r="U18" s="45">
        <f>(10^9)*'6'!S18/'10'!$M18</f>
        <v>31578.98329391576</v>
      </c>
    </row>
    <row r="19" spans="1:21">
      <c r="A19" s="204">
        <v>1984</v>
      </c>
      <c r="B19" s="45">
        <v>236394</v>
      </c>
      <c r="C19" s="45">
        <f>'6'!B19/'10'!B19*10^6</f>
        <v>32288.467558398268</v>
      </c>
      <c r="D19" s="45">
        <f>'6'!C19/'10'!$B19*10^6</f>
        <v>31955.971809775205</v>
      </c>
      <c r="E19" s="45">
        <f>'6'!D19/'10'!$B19*10^6</f>
        <v>32619.694239278499</v>
      </c>
      <c r="F19" s="45">
        <f>'6'!E19/'10'!$B19*10^6</f>
        <v>32286.352445493543</v>
      </c>
      <c r="G19" s="45">
        <f>'6'!F19/'10'!$B19*10^6</f>
        <v>28707.581410695704</v>
      </c>
      <c r="H19" s="45">
        <f>'6'!G19/'10'!$B19*10^6</f>
        <v>28360.279871739553</v>
      </c>
      <c r="I19" s="45">
        <f>'6'!H19/'10'!$B19*10^6</f>
        <v>29044.730407709161</v>
      </c>
      <c r="J19" s="45">
        <f>'6'!I19/'10'!$B19*10^6</f>
        <v>28042.01835006649</v>
      </c>
      <c r="K19" s="45"/>
      <c r="L19" s="204">
        <v>1996</v>
      </c>
      <c r="M19" s="45">
        <v>29569874.5</v>
      </c>
      <c r="N19" s="45">
        <f>(10^9)*'6'!L19/'10'!$M19</f>
        <v>40849.023556051965</v>
      </c>
      <c r="O19" s="45">
        <f>(10^9)*'6'!M19/'10'!$M19</f>
        <v>39213.456370200816</v>
      </c>
      <c r="P19" s="45">
        <f>(10^9)*'6'!N19/'10'!$M19</f>
        <v>39491.768242406084</v>
      </c>
      <c r="Q19" s="45">
        <f>(10^9)*'6'!O19/'10'!$M19</f>
        <v>37910.544638373365</v>
      </c>
      <c r="R19" s="45">
        <f>(10^9)*'6'!P19/'10'!$M19</f>
        <v>-5995096.1963433623</v>
      </c>
      <c r="S19" s="45">
        <f>(10^9)*'6'!Q19/'10'!$M19</f>
        <v>33243.449870053359</v>
      </c>
      <c r="T19" s="45">
        <f>(10^9)*'6'!R19/'10'!$M19</f>
        <v>-5996453.4516570074</v>
      </c>
      <c r="U19" s="45">
        <f>(10^9)*'6'!S19/'10'!$M19</f>
        <v>31940.538138225915</v>
      </c>
    </row>
    <row r="20" spans="1:21">
      <c r="A20" s="204">
        <v>1985</v>
      </c>
      <c r="B20" s="45">
        <v>238506</v>
      </c>
      <c r="C20" s="45">
        <f>'6'!B20/'10'!B20*10^6</f>
        <v>33337.10682330843</v>
      </c>
      <c r="D20" s="45">
        <f>'6'!C20/'10'!$B20*10^6</f>
        <v>32919.926542728492</v>
      </c>
      <c r="E20" s="45">
        <f>'6'!D20/'10'!$B20*10^6</f>
        <v>33573.578861747716</v>
      </c>
      <c r="F20" s="45">
        <f>'6'!E20/'10'!$B20*10^6</f>
        <v>33156.39858116777</v>
      </c>
      <c r="G20" s="45">
        <f>'6'!F20/'10'!$B20*10^6</f>
        <v>29575.775871466547</v>
      </c>
      <c r="H20" s="45">
        <f>'6'!G20/'10'!$B20*10^6</f>
        <v>29141.824524330623</v>
      </c>
      <c r="I20" s="45">
        <f>'6'!H20/'10'!$B20*10^6</f>
        <v>29814.344293225324</v>
      </c>
      <c r="J20" s="45">
        <f>'6'!I20/'10'!$B20*10^6</f>
        <v>28905.943310581406</v>
      </c>
      <c r="K20" s="45"/>
      <c r="L20" s="204">
        <v>1997</v>
      </c>
      <c r="M20" s="45">
        <v>29867571.5</v>
      </c>
      <c r="N20" s="45">
        <f>(10^9)*'6'!L20/'10'!$M20</f>
        <v>42172.620227928477</v>
      </c>
      <c r="O20" s="45">
        <f>(10^9)*'6'!M20/'10'!$M20</f>
        <v>40342.818973827969</v>
      </c>
      <c r="P20" s="45">
        <f>(10^9)*'6'!N20/'10'!$M20</f>
        <v>40864.376485946406</v>
      </c>
      <c r="Q20" s="45">
        <f>(10^9)*'6'!O20/'10'!$M20</f>
        <v>39091.337795490523</v>
      </c>
      <c r="R20" s="45">
        <f>(10^9)*'6'!P20/'10'!$M20</f>
        <v>-6149516.0129630156</v>
      </c>
      <c r="S20" s="45">
        <f>(10^9)*'6'!Q20/'10'!$M20</f>
        <v>34185.414137445943</v>
      </c>
      <c r="T20" s="45">
        <f>(10^9)*'6'!R20/'10'!$M20</f>
        <v>-6150824.2567049963</v>
      </c>
      <c r="U20" s="45">
        <f>(10^9)*'6'!S20/'10'!$M20</f>
        <v>32933.932959108497</v>
      </c>
    </row>
    <row r="21" spans="1:21">
      <c r="A21" s="204">
        <v>1986</v>
      </c>
      <c r="B21" s="45">
        <v>240683</v>
      </c>
      <c r="C21" s="45">
        <f>'6'!B21/'10'!B21*10^6</f>
        <v>34179.397797102414</v>
      </c>
      <c r="D21" s="45">
        <f>'6'!C21/'10'!$B21*10^6</f>
        <v>33581.93142016678</v>
      </c>
      <c r="E21" s="45">
        <f>'6'!D21/'10'!$B21*10^6</f>
        <v>34345.591504177697</v>
      </c>
      <c r="F21" s="45">
        <f>'6'!E21/'10'!$B21*10^6</f>
        <v>33747.294158706674</v>
      </c>
      <c r="G21" s="45">
        <f>'6'!F21/'10'!$B21*10^6</f>
        <v>30244.346297827433</v>
      </c>
      <c r="H21" s="45">
        <f>'6'!G21/'10'!$B21*10^6</f>
        <v>29622.781833365876</v>
      </c>
      <c r="I21" s="45">
        <f>'6'!H21/'10'!$B21*10^6</f>
        <v>30409.293552099651</v>
      </c>
      <c r="J21" s="45">
        <f>'6'!I21/'10'!$B21*10^6</f>
        <v>29458.599043032216</v>
      </c>
      <c r="K21" s="45"/>
      <c r="L21" s="204">
        <v>1998</v>
      </c>
      <c r="M21" s="45">
        <v>30123874.5</v>
      </c>
      <c r="N21" s="45">
        <f>(10^9)*'6'!L21/'10'!$M21</f>
        <v>43443.780779261986</v>
      </c>
      <c r="O21" s="45">
        <f>(10^9)*'6'!M21/'10'!$M21</f>
        <v>40881.650731572001</v>
      </c>
      <c r="P21" s="45">
        <f>(10^9)*'6'!N21/'10'!$M21</f>
        <v>41982.083999170914</v>
      </c>
      <c r="Q21" s="45">
        <f>(10^9)*'6'!O21/'10'!$M21</f>
        <v>39506.158631960097</v>
      </c>
      <c r="R21" s="45">
        <f>(10^9)*'6'!P21/'10'!$M21</f>
        <v>-6406538.3234025985</v>
      </c>
      <c r="S21" s="45">
        <f>(10^9)*'6'!Q21/'10'!$M21</f>
        <v>34450.763336100914</v>
      </c>
      <c r="T21" s="45">
        <f>(10^9)*'6'!R21/'10'!$M21</f>
        <v>-6408000.0201826897</v>
      </c>
      <c r="U21" s="45">
        <f>(10^9)*'6'!S21/'10'!$M21</f>
        <v>33075.271236488996</v>
      </c>
    </row>
    <row r="22" spans="1:21">
      <c r="A22" s="204">
        <v>1987</v>
      </c>
      <c r="B22" s="45">
        <v>242843</v>
      </c>
      <c r="C22" s="45">
        <f>'6'!B22/'10'!B22*10^6</f>
        <v>35047.335109515203</v>
      </c>
      <c r="D22" s="45">
        <f>'6'!C22/'10'!$B22*10^6</f>
        <v>34731.081398269664</v>
      </c>
      <c r="E22" s="45">
        <f>'6'!D22/'10'!$B22*10^6</f>
        <v>35204.226599078414</v>
      </c>
      <c r="F22" s="45">
        <f>'6'!E22/'10'!$B22*10^6</f>
        <v>34887.561099146362</v>
      </c>
      <c r="G22" s="45">
        <f>'6'!F22/'10'!$B22*10^6</f>
        <v>30943.03727099402</v>
      </c>
      <c r="H22" s="45">
        <f>'6'!G22/'10'!$B22*10^6</f>
        <v>30614.42989915295</v>
      </c>
      <c r="I22" s="45">
        <f>'6'!H22/'10'!$B22*10^6</f>
        <v>31098.281605811164</v>
      </c>
      <c r="J22" s="45">
        <f>'6'!I22/'10'!$B22*10^6</f>
        <v>30073.736775365662</v>
      </c>
      <c r="K22" s="45"/>
      <c r="L22" s="204">
        <v>1999</v>
      </c>
      <c r="M22" s="45">
        <v>30367051.25</v>
      </c>
      <c r="N22" s="45">
        <f>(10^9)*'6'!L22/'10'!$M22</f>
        <v>45320.040746465289</v>
      </c>
      <c r="O22" s="45">
        <f>(10^9)*'6'!M22/'10'!$M22</f>
        <v>42858.867131310704</v>
      </c>
      <c r="P22" s="45">
        <f>(10^9)*'6'!N22/'10'!$M22</f>
        <v>43794.630461139524</v>
      </c>
      <c r="Q22" s="45">
        <f>(10^9)*'6'!O22/'10'!$M22</f>
        <v>41416.296567324374</v>
      </c>
      <c r="R22" s="45">
        <f>(10^9)*'6'!P22/'10'!$M22</f>
        <v>-6650012.2242385661</v>
      </c>
      <c r="S22" s="45">
        <f>(10^9)*'6'!Q22/'10'!$M22</f>
        <v>36271.092787152069</v>
      </c>
      <c r="T22" s="45">
        <f>(10^9)*'6'!R22/'10'!$M22</f>
        <v>-6651537.6345238918</v>
      </c>
      <c r="U22" s="45">
        <f>(10^9)*'6'!S22/'10'!$M22</f>
        <v>34828.522223165739</v>
      </c>
    </row>
    <row r="23" spans="1:21">
      <c r="A23" s="204">
        <v>1988</v>
      </c>
      <c r="B23" s="45">
        <v>245061</v>
      </c>
      <c r="C23" s="45">
        <f>'6'!B23/'10'!B23*10^6</f>
        <v>36180.787640628252</v>
      </c>
      <c r="D23" s="45">
        <f>'6'!C23/'10'!$B23*10^6</f>
        <v>36159.976495648021</v>
      </c>
      <c r="E23" s="45">
        <f>'6'!D23/'10'!$B23*10^6</f>
        <v>36367.679883784032</v>
      </c>
      <c r="F23" s="45">
        <f>'6'!E23/'10'!$B23*10^6</f>
        <v>36346.868738803816</v>
      </c>
      <c r="G23" s="45">
        <f>'6'!F23/'10'!$B23*10^6</f>
        <v>31939.394681324244</v>
      </c>
      <c r="H23" s="45">
        <f>'6'!G23/'10'!$B23*10^6</f>
        <v>31917.767413011457</v>
      </c>
      <c r="I23" s="45">
        <f>'6'!H23/'10'!$B23*10^6</f>
        <v>32125.062739481193</v>
      </c>
      <c r="J23" s="45">
        <f>'6'!I23/'10'!$B23*10^6</f>
        <v>31076.720822603176</v>
      </c>
      <c r="K23" s="45"/>
      <c r="L23" s="204">
        <v>2000</v>
      </c>
      <c r="M23" s="45">
        <v>30647400.25</v>
      </c>
      <c r="N23" s="45">
        <f>(10^9)*'6'!L23/'10'!$M23</f>
        <v>47231.037157874423</v>
      </c>
      <c r="O23" s="45">
        <f>(10^9)*'6'!M23/'10'!$M23</f>
        <v>45422.778991441119</v>
      </c>
      <c r="P23" s="45">
        <f>(10^9)*'6'!N23/'10'!$M23</f>
        <v>45991.779641450186</v>
      </c>
      <c r="Q23" s="45">
        <f>(10^9)*'6'!O23/'10'!$M23</f>
        <v>44230.966918929065</v>
      </c>
      <c r="R23" s="45">
        <f>(10^9)*'6'!P23/'10'!$M23</f>
        <v>-6928026.8512095977</v>
      </c>
      <c r="S23" s="45">
        <f>(10^9)*'6'!Q23/'10'!$M23</f>
        <v>38641.306287330699</v>
      </c>
      <c r="T23" s="45">
        <f>(10^9)*'6'!R23/'10'!$M23</f>
        <v>-6929266.1087260228</v>
      </c>
      <c r="U23" s="45">
        <f>(10^9)*'6'!S23/'10'!$M23</f>
        <v>37449.494214818646</v>
      </c>
    </row>
    <row r="24" spans="1:21">
      <c r="A24" s="204">
        <v>1989</v>
      </c>
      <c r="B24" s="45">
        <v>247387</v>
      </c>
      <c r="C24" s="45">
        <f>'6'!B24/'10'!B24*10^6</f>
        <v>37156.762481456186</v>
      </c>
      <c r="D24" s="45">
        <f>'6'!C24/'10'!$B24*10^6</f>
        <v>36709.285451539487</v>
      </c>
      <c r="E24" s="45">
        <f>'6'!D24/'10'!$B24*10^6</f>
        <v>37347.152437274395</v>
      </c>
      <c r="F24" s="45">
        <f>'6'!E24/'10'!$B24*10^6</f>
        <v>36898.866957439153</v>
      </c>
      <c r="G24" s="45">
        <f>'6'!F24/'10'!$B24*10^6</f>
        <v>32776.580822759483</v>
      </c>
      <c r="H24" s="45">
        <f>'6'!G24/'10'!$B24*10^6</f>
        <v>32312.530569512546</v>
      </c>
      <c r="I24" s="45">
        <f>'6'!H24/'10'!$B24*10^6</f>
        <v>32965.758103699874</v>
      </c>
      <c r="J24" s="45">
        <f>'6'!I24/'10'!$B24*10^6</f>
        <v>31955.308738127824</v>
      </c>
      <c r="K24" s="45"/>
      <c r="L24" s="204">
        <v>2001</v>
      </c>
      <c r="M24" s="45">
        <v>30971364.5</v>
      </c>
      <c r="N24" s="45">
        <f>(10^9)*'6'!L24/'10'!$M24</f>
        <v>47573.154227673753</v>
      </c>
      <c r="O24" s="45">
        <f>(10^9)*'6'!M24/'10'!$M24</f>
        <v>45608.318191210201</v>
      </c>
      <c r="P24" s="45">
        <f>(10^9)*'6'!N24/'10'!$M24</f>
        <v>46233.620949650991</v>
      </c>
      <c r="Q24" s="45">
        <f>(10^9)*'6'!O24/'10'!$M24</f>
        <v>44324.109461232023</v>
      </c>
      <c r="R24" s="45">
        <f>(10^9)*'6'!P24/'10'!$M24</f>
        <v>-7184938.3261948591</v>
      </c>
      <c r="S24" s="45">
        <f>(10^9)*'6'!Q24/'10'!$M24</f>
        <v>38611.498578944367</v>
      </c>
      <c r="T24" s="45">
        <f>(10^9)*'6'!R24/'10'!$M24</f>
        <v>-7186277.8594728811</v>
      </c>
      <c r="U24" s="45">
        <f>(10^9)*'6'!S24/'10'!$M24</f>
        <v>37327.289848966175</v>
      </c>
    </row>
    <row r="25" spans="1:21">
      <c r="A25" s="204">
        <v>1990</v>
      </c>
      <c r="B25" s="45">
        <v>250181</v>
      </c>
      <c r="C25" s="45">
        <f>'6'!B25/'10'!B25*10^6</f>
        <v>37434.897134474639</v>
      </c>
      <c r="D25" s="45">
        <f>'6'!C25/'10'!$B25*10^6</f>
        <v>36834.931509587055</v>
      </c>
      <c r="E25" s="45">
        <f>'6'!D25/'10'!$B25*10^6</f>
        <v>37673.124657747787</v>
      </c>
      <c r="F25" s="45">
        <f>'6'!E25/'10'!$B25*10^6</f>
        <v>37072.759322250691</v>
      </c>
      <c r="G25" s="45">
        <f>'6'!F25/'10'!$B25*10^6</f>
        <v>32917.367825694193</v>
      </c>
      <c r="H25" s="45">
        <f>'6'!G25/'10'!$B25*10^6</f>
        <v>32297.816380940203</v>
      </c>
      <c r="I25" s="45">
        <f>'6'!H25/'10'!$B25*10^6</f>
        <v>33155.995059576868</v>
      </c>
      <c r="J25" s="45">
        <f>'6'!I25/'10'!$B25*10^6</f>
        <v>32158.749975811937</v>
      </c>
      <c r="K25" s="45"/>
      <c r="L25" s="204">
        <v>2002</v>
      </c>
      <c r="M25" s="45">
        <v>31308654.5</v>
      </c>
      <c r="N25" s="45">
        <f>(10^9)*'6'!L25/'10'!$M25</f>
        <v>48480.397009714994</v>
      </c>
      <c r="O25" s="45">
        <f>(10^9)*'6'!M25/'10'!$M25</f>
        <v>45980.846473103607</v>
      </c>
      <c r="P25" s="45">
        <f>(10^9)*'6'!N25/'10'!$M25</f>
        <v>47253.691925985848</v>
      </c>
      <c r="Q25" s="45">
        <f>(10^9)*'6'!O25/'10'!$M25</f>
        <v>44817.387805233717</v>
      </c>
      <c r="R25" s="45">
        <f>(10^9)*'6'!P25/'10'!$M25</f>
        <v>-7256203.3312902721</v>
      </c>
      <c r="S25" s="45">
        <f>(10^9)*'6'!Q25/'10'!$M25</f>
        <v>38912.962181858173</v>
      </c>
      <c r="T25" s="45">
        <f>(10^9)*'6'!R25/'10'!$M25</f>
        <v>-7257430.0363739999</v>
      </c>
      <c r="U25" s="45">
        <f>(10^9)*'6'!S25/'10'!$M25</f>
        <v>37749.503513988268</v>
      </c>
    </row>
    <row r="26" spans="1:21">
      <c r="A26" s="204">
        <v>1991</v>
      </c>
      <c r="B26" s="45">
        <v>253530</v>
      </c>
      <c r="C26" s="45">
        <f>'6'!B26/'10'!B26*10^6</f>
        <v>36900.564035814299</v>
      </c>
      <c r="D26" s="45">
        <f>'6'!C26/'10'!$B26*10^6</f>
        <v>36343.233542381575</v>
      </c>
      <c r="E26" s="45">
        <f>'6'!D26/'10'!$B26*10^6</f>
        <v>37102.906953812177</v>
      </c>
      <c r="F26" s="45">
        <f>'6'!E26/'10'!$B26*10^6</f>
        <v>36545.576460379438</v>
      </c>
      <c r="G26" s="45">
        <f>'6'!F26/'10'!$B26*10^6</f>
        <v>32276.653650455566</v>
      </c>
      <c r="H26" s="45">
        <f>'6'!G26/'10'!$B26*10^6</f>
        <v>31702.362639529838</v>
      </c>
      <c r="I26" s="45">
        <f>'6'!H26/'10'!$B26*10^6</f>
        <v>32478.207707174697</v>
      </c>
      <c r="J26" s="45">
        <f>'6'!I26/'10'!$B26*10^6</f>
        <v>31655.729251835935</v>
      </c>
      <c r="K26" s="45"/>
      <c r="L26" s="204">
        <v>2003</v>
      </c>
      <c r="M26" s="45">
        <v>31603334.25</v>
      </c>
      <c r="N26" s="45">
        <f>(10^9)*'6'!L26/'10'!$M26</f>
        <v>48893.290428683162</v>
      </c>
      <c r="O26" s="45">
        <f>(10^9)*'6'!M26/'10'!$M26</f>
        <v>47134.040436454852</v>
      </c>
      <c r="P26" s="45">
        <f>(10^9)*'6'!N26/'10'!$M26</f>
        <v>47690.615995362074</v>
      </c>
      <c r="Q26" s="45">
        <f>(10^9)*'6'!O26/'10'!$M26</f>
        <v>45974.639936406042</v>
      </c>
      <c r="R26" s="45">
        <f>(10^9)*'6'!P26/'10'!$M26</f>
        <v>-7288685.7249351367</v>
      </c>
      <c r="S26" s="45">
        <f>(10^9)*'6'!Q26/'10'!$M26</f>
        <v>40138.419767614476</v>
      </c>
      <c r="T26" s="45">
        <f>(10^9)*'6'!R26/'10'!$M26</f>
        <v>-7289888.3993684584</v>
      </c>
      <c r="U26" s="45">
        <f>(10^9)*'6'!S26/'10'!$M26</f>
        <v>38979.019267565658</v>
      </c>
    </row>
    <row r="27" spans="1:21">
      <c r="A27" s="204">
        <v>1992</v>
      </c>
      <c r="B27" s="45">
        <v>256922</v>
      </c>
      <c r="C27" s="45">
        <f>'6'!B27/'10'!B27*10^6</f>
        <v>37695.87656954251</v>
      </c>
      <c r="D27" s="45">
        <f>'6'!C27/'10'!$B27*10^6</f>
        <v>37025.634239185434</v>
      </c>
      <c r="E27" s="45">
        <f>'6'!D27/'10'!$B27*10^6</f>
        <v>37889.709717346122</v>
      </c>
      <c r="F27" s="45">
        <f>'6'!E27/'10'!$B27*10^6</f>
        <v>37219.078163800681</v>
      </c>
      <c r="G27" s="45">
        <f>'6'!F27/'10'!$B27*10^6</f>
        <v>33025.198309214466</v>
      </c>
      <c r="H27" s="45">
        <f>'6'!G27/'10'!$B27*10^6</f>
        <v>32336.662489004444</v>
      </c>
      <c r="I27" s="45">
        <f>'6'!H27/'10'!$B27*10^6</f>
        <v>33217.863787452996</v>
      </c>
      <c r="J27" s="45">
        <f>'6'!I27/'10'!$B27*10^6</f>
        <v>32463.038184318761</v>
      </c>
      <c r="K27" s="45"/>
      <c r="L27" s="204">
        <v>2004</v>
      </c>
      <c r="M27" s="45">
        <v>31901246.75</v>
      </c>
      <c r="N27" s="45">
        <f>(10^9)*'6'!L27/'10'!$M27</f>
        <v>49932.076714211806</v>
      </c>
      <c r="O27" s="45">
        <f>(10^9)*'6'!M27/'10'!$M27</f>
        <v>48825.13624220049</v>
      </c>
      <c r="P27" s="45">
        <f>(10^9)*'6'!N27/'10'!$M27</f>
        <v>48855.847220071068</v>
      </c>
      <c r="Q27" s="45">
        <f>(10^9)*'6'!O27/'10'!$M27</f>
        <v>47772.765599175742</v>
      </c>
      <c r="R27" s="45">
        <f>(10^9)*'6'!P27/'10'!$M27</f>
        <v>-7320344.8634911496</v>
      </c>
      <c r="S27" s="45">
        <f>(10^9)*'6'!Q27/'10'!$M27</f>
        <v>41755.610730810564</v>
      </c>
      <c r="T27" s="45">
        <f>(10^9)*'6'!R27/'10'!$M27</f>
        <v>-7321421.0929852901</v>
      </c>
      <c r="U27" s="45">
        <f>(10^9)*'6'!S27/'10'!$M27</f>
        <v>40703.240087785802</v>
      </c>
    </row>
    <row r="28" spans="1:21">
      <c r="A28" s="204">
        <v>1993</v>
      </c>
      <c r="B28" s="45">
        <v>260282</v>
      </c>
      <c r="C28" s="45">
        <f>'6'!B28/'10'!B28*10^6</f>
        <v>38233.531323718125</v>
      </c>
      <c r="D28" s="45">
        <f>'6'!C28/'10'!$B28*10^6</f>
        <v>37364.089718075011</v>
      </c>
      <c r="E28" s="45">
        <f>'6'!D28/'10'!$B28*10^6</f>
        <v>38422.941271390257</v>
      </c>
      <c r="F28" s="45">
        <f>'6'!E28/'10'!$B28*10^6</f>
        <v>37553.499665747149</v>
      </c>
      <c r="G28" s="45">
        <f>'6'!F28/'10'!$B28*10^6</f>
        <v>33483.683082195465</v>
      </c>
      <c r="H28" s="45">
        <f>'6'!G28/'10'!$B28*10^6</f>
        <v>32591.573754619989</v>
      </c>
      <c r="I28" s="45">
        <f>'6'!H28/'10'!$B28*10^6</f>
        <v>33671.556235160329</v>
      </c>
      <c r="J28" s="45">
        <f>'6'!I28/'10'!$B28*10^6</f>
        <v>32988.158991400262</v>
      </c>
      <c r="K28" s="45"/>
      <c r="L28" s="204">
        <v>2005</v>
      </c>
      <c r="M28" s="45">
        <v>32204096</v>
      </c>
      <c r="N28" s="45">
        <f>(10^9)*'6'!L28/'10'!$M28</f>
        <v>51046.751941119539</v>
      </c>
      <c r="O28" s="45">
        <f>(10^9)*'6'!M28/'10'!$M28</f>
        <v>50419.755387063298</v>
      </c>
      <c r="P28" s="45">
        <f>(10^9)*'6'!N28/'10'!$M28</f>
        <v>50002.994791518591</v>
      </c>
      <c r="Q28" s="45">
        <f>(10^9)*'6'!O28/'10'!$M28</f>
        <v>49388.818487746372</v>
      </c>
      <c r="R28" s="45">
        <f>(10^9)*'6'!P28/'10'!$M28</f>
        <v>-7507893.0079153338</v>
      </c>
      <c r="S28" s="45">
        <f>(10^9)*'6'!Q28/'10'!$M28</f>
        <v>43173.971784622263</v>
      </c>
      <c r="T28" s="45">
        <f>(10^9)*'6'!R28/'10'!$M28</f>
        <v>-7508936.7650649352</v>
      </c>
      <c r="U28" s="45">
        <f>(10^9)*'6'!S28/'10'!$M28</f>
        <v>42143.034885305322</v>
      </c>
    </row>
    <row r="29" spans="1:21">
      <c r="A29" s="204">
        <v>1994</v>
      </c>
      <c r="B29" s="45">
        <v>263455</v>
      </c>
      <c r="C29" s="45">
        <f>'6'!B29/'10'!B29*10^6</f>
        <v>39294.756220227362</v>
      </c>
      <c r="D29" s="45">
        <f>'6'!C29/'10'!$B29*10^6</f>
        <v>38540.168150158475</v>
      </c>
      <c r="E29" s="45">
        <f>'6'!D29/'10'!$B29*10^6</f>
        <v>39436.336376231236</v>
      </c>
      <c r="F29" s="45">
        <f>'6'!E29/'10'!$B29*10^6</f>
        <v>38681.368734698524</v>
      </c>
      <c r="G29" s="45">
        <f>'6'!F29/'10'!$B29*10^6</f>
        <v>34449.526484598893</v>
      </c>
      <c r="H29" s="45">
        <f>'6'!G29/'10'!$B29*10^6</f>
        <v>33675.959841339129</v>
      </c>
      <c r="I29" s="45">
        <f>'6'!H29/'10'!$B29*10^6</f>
        <v>34588.070068892215</v>
      </c>
      <c r="J29" s="45">
        <f>'6'!I29/'10'!$B29*10^6</f>
        <v>33915.737047557806</v>
      </c>
      <c r="K29" s="45"/>
      <c r="L29" s="204">
        <v>2006</v>
      </c>
      <c r="M29" s="45">
        <v>32529374.5</v>
      </c>
      <c r="N29" s="45">
        <f>(10^9)*'6'!L29/'10'!$M29</f>
        <v>51867.728043771633</v>
      </c>
      <c r="O29" s="45">
        <f>(10^9)*'6'!M29/'10'!$M29</f>
        <v>51380.883259475238</v>
      </c>
      <c r="P29" s="45">
        <f>(10^9)*'6'!N29/'10'!$M29</f>
        <v>51042.320505016076</v>
      </c>
      <c r="Q29" s="45">
        <f>(10^9)*'6'!O29/'10'!$M29</f>
        <v>50563.223223267363</v>
      </c>
      <c r="R29" s="45">
        <f>(10^9)*'6'!P29/'10'!$M29</f>
        <v>-7685998.1243570857</v>
      </c>
      <c r="S29" s="45">
        <f>(10^9)*'6'!Q29/'10'!$M29</f>
        <v>43851.173660002845</v>
      </c>
      <c r="T29" s="45">
        <f>(10^9)*'6'!R29/'10'!$M29</f>
        <v>-7686823.5318958405</v>
      </c>
      <c r="U29" s="45">
        <f>(10^9)*'6'!S29/'10'!$M29</f>
        <v>43033.513623794985</v>
      </c>
    </row>
    <row r="30" spans="1:21">
      <c r="A30" s="204">
        <v>1995</v>
      </c>
      <c r="B30" s="45">
        <v>266588</v>
      </c>
      <c r="C30" s="45">
        <f>'6'!B30/'10'!B30*10^6</f>
        <v>39875.388239530657</v>
      </c>
      <c r="D30" s="45">
        <f>'6'!C30/'10'!$B30*10^6</f>
        <v>39389.995048539313</v>
      </c>
      <c r="E30" s="45">
        <f>'6'!D30/'10'!$B30*10^6</f>
        <v>40034.81026902936</v>
      </c>
      <c r="F30" s="45">
        <f>'6'!E30/'10'!$B30*10^6</f>
        <v>39549.417078038015</v>
      </c>
      <c r="G30" s="45">
        <f>'6'!F30/'10'!$B30*10^6</f>
        <v>34884.540939577171</v>
      </c>
      <c r="H30" s="45">
        <f>'6'!G30/'10'!$B30*10^6</f>
        <v>34386.769096883581</v>
      </c>
      <c r="I30" s="45">
        <f>'6'!H30/'10'!$B30*10^6</f>
        <v>35041.712305130015</v>
      </c>
      <c r="J30" s="45">
        <f>'6'!I30/'10'!$B30*10^6</f>
        <v>34329.98388485844</v>
      </c>
      <c r="K30" s="45"/>
      <c r="L30" s="120">
        <v>2007</v>
      </c>
      <c r="M30" s="45">
        <v>32848719.5</v>
      </c>
      <c r="N30" s="45">
        <f>(10^9)*'6'!L30/'10'!$M30</f>
        <v>52428.13955046254</v>
      </c>
      <c r="O30" s="45">
        <f>(10^9)*'6'!M30/'10'!$M30</f>
        <v>52352.352717933805</v>
      </c>
      <c r="P30" s="45">
        <f>(10^9)*'6'!N30/'10'!$M30</f>
        <v>51656.403472151469</v>
      </c>
      <c r="Q30" s="45">
        <f>(10^9)*'6'!O30/'10'!$M30</f>
        <v>51581.732212927935</v>
      </c>
      <c r="R30" s="45">
        <f>(10^9)*'6'!P30/'10'!$M30</f>
        <v>-7846723.1786389817</v>
      </c>
      <c r="S30" s="45">
        <f>(10^9)*'6'!Q30/'10'!$M30</f>
        <v>44536.144353312164</v>
      </c>
      <c r="T30" s="45">
        <f>(10^9)*'6'!R30/'10'!$M30</f>
        <v>-7847494.9147172933</v>
      </c>
      <c r="U30" s="45">
        <f>(10^9)*'6'!S30/'10'!$M30</f>
        <v>43765.523848306293</v>
      </c>
    </row>
    <row r="31" spans="1:21">
      <c r="A31" s="204">
        <v>1996</v>
      </c>
      <c r="B31" s="45">
        <v>269714</v>
      </c>
      <c r="C31" s="45">
        <f>'6'!B31/'10'!B31*10^6</f>
        <v>40900.361123263901</v>
      </c>
      <c r="D31" s="45">
        <f>'6'!C31/'10'!$B31*10^6</f>
        <v>40605.975218194093</v>
      </c>
      <c r="E31" s="45">
        <f>'6'!D31/'10'!$B31*10^6</f>
        <v>41069.058335866881</v>
      </c>
      <c r="F31" s="45">
        <f>'6'!E31/'10'!$B31*10^6</f>
        <v>40774.672430797073</v>
      </c>
      <c r="G31" s="45">
        <f>'6'!F31/'10'!$B31*10^6</f>
        <v>35749.720073856013</v>
      </c>
      <c r="H31" s="45">
        <f>'6'!G31/'10'!$B31*10^6</f>
        <v>35448.660432903001</v>
      </c>
      <c r="I31" s="45">
        <f>'6'!H31/'10'!$B31*10^6</f>
        <v>35916.192707831258</v>
      </c>
      <c r="J31" s="45">
        <f>'6'!I31/'10'!$B31*10^6</f>
        <v>35294.931894289752</v>
      </c>
      <c r="K31" s="45"/>
      <c r="L31" s="120">
        <v>2008</v>
      </c>
      <c r="M31" s="45">
        <v>33199417.25</v>
      </c>
      <c r="N31" s="45">
        <f>(10^9)*'6'!L31/'10'!$M31</f>
        <v>52397.019107315798</v>
      </c>
      <c r="O31" s="45">
        <f>(10^9)*'6'!M31/'10'!$M31</f>
        <v>53076.331224631322</v>
      </c>
      <c r="P31" s="45">
        <f>(10^9)*'6'!N31/'10'!$M31</f>
        <v>51627.17873683232</v>
      </c>
      <c r="Q31" s="45">
        <f>(10^9)*'6'!O31/'10'!$M31</f>
        <v>52296.51009758997</v>
      </c>
      <c r="R31" s="45">
        <f>(10^9)*'6'!P31/'10'!$M31</f>
        <v>-8143554.6050691884</v>
      </c>
      <c r="S31" s="45">
        <f>(10^9)*'6'!Q31/'10'!$M31</f>
        <v>44855.826282201218</v>
      </c>
      <c r="T31" s="45">
        <f>(10^9)*'6'!R31/'10'!$M31</f>
        <v>-8144324.4454396712</v>
      </c>
      <c r="U31" s="45">
        <f>(10^9)*'6'!S31/'10'!$M31</f>
        <v>44076.005155159859</v>
      </c>
    </row>
    <row r="32" spans="1:21">
      <c r="A32" s="204">
        <v>1997</v>
      </c>
      <c r="B32" s="45">
        <v>272958</v>
      </c>
      <c r="C32" s="45">
        <f>'6'!B32/'10'!B32*10^6</f>
        <v>42211.255944137927</v>
      </c>
      <c r="D32" s="45">
        <f>'6'!C32/'10'!$B32*10^6</f>
        <v>42154.470651162446</v>
      </c>
      <c r="E32" s="45">
        <f>'6'!D32/'10'!$B32*10^6</f>
        <v>42338.748085786094</v>
      </c>
      <c r="F32" s="45">
        <f>'6'!E32/'10'!$B32*10^6</f>
        <v>42281.962792810613</v>
      </c>
      <c r="G32" s="45">
        <f>'6'!F32/'10'!$B32*10^6</f>
        <v>36860.249562203702</v>
      </c>
      <c r="H32" s="45">
        <f>'6'!G32/'10'!$B32*10^6</f>
        <v>36802.365199041611</v>
      </c>
      <c r="I32" s="45">
        <f>'6'!H32/'10'!$B32*10^6</f>
        <v>36984.444493292009</v>
      </c>
      <c r="J32" s="45">
        <f>'6'!I32/'10'!$B32*10^6</f>
        <v>36504.75858642158</v>
      </c>
      <c r="K32" s="45"/>
      <c r="L32" s="120">
        <v>2009</v>
      </c>
      <c r="M32" s="45">
        <v>33581074.25</v>
      </c>
      <c r="N32" s="45">
        <f>(10^9)*'6'!L32/'10'!$M32</f>
        <v>50284.558719856912</v>
      </c>
      <c r="O32" s="45">
        <f>(10^9)*'6'!M32/'10'!$M32</f>
        <v>49212.39392998664</v>
      </c>
      <c r="P32" s="45">
        <f>(10^9)*'6'!N32/'10'!$M32</f>
        <v>49418.734508884299</v>
      </c>
      <c r="Q32" s="45">
        <f>(10^9)*'6'!O32/'10'!$M32</f>
        <v>48365.030778568973</v>
      </c>
      <c r="R32" s="45">
        <f>(10^9)*'6'!P32/'10'!$M32</f>
        <v>-8287098.0502312761</v>
      </c>
      <c r="S32" s="45">
        <f>(10^9)*'6'!Q32/'10'!$M32</f>
        <v>40809.887553186942</v>
      </c>
      <c r="T32" s="45">
        <f>(10^9)*'6'!R32/'10'!$M32</f>
        <v>-8287963.8744422505</v>
      </c>
      <c r="U32" s="45">
        <f>(10^9)*'6'!S32/'10'!$M32</f>
        <v>39962.524401769289</v>
      </c>
    </row>
    <row r="33" spans="1:22">
      <c r="A33" s="204">
        <v>1998</v>
      </c>
      <c r="B33" s="45">
        <v>276154</v>
      </c>
      <c r="C33" s="45">
        <f>'6'!B33/'10'!B33*10^6</f>
        <v>43592.705519384108</v>
      </c>
      <c r="D33" s="45">
        <f>'6'!C33/'10'!$B33*10^6</f>
        <v>43858.499243175909</v>
      </c>
      <c r="E33" s="45">
        <f>'6'!D33/'10'!$B33*10^6</f>
        <v>43687.942235129674</v>
      </c>
      <c r="F33" s="45">
        <f>'6'!E33/'10'!$B33*10^6</f>
        <v>43953.735958921468</v>
      </c>
      <c r="G33" s="45">
        <f>'6'!F33/'10'!$B33*10^6</f>
        <v>37986.051261252775</v>
      </c>
      <c r="H33" s="45">
        <f>'6'!G33/'10'!$B33*10^6</f>
        <v>38256.914620103271</v>
      </c>
      <c r="I33" s="45">
        <f>'6'!H33/'10'!$B33*10^6</f>
        <v>38077.304692309372</v>
      </c>
      <c r="J33" s="45">
        <f>'6'!I33/'10'!$B33*10^6</f>
        <v>37817.734237927179</v>
      </c>
      <c r="K33" s="45"/>
      <c r="L33" s="120">
        <v>2010</v>
      </c>
      <c r="M33" s="45">
        <v>33958334.25</v>
      </c>
      <c r="N33" s="45">
        <f>(10^9)*'6'!L33/'10'!$M33</f>
        <v>51262.202297216623</v>
      </c>
      <c r="O33" s="45">
        <f>(10^9)*'6'!M33/'10'!$M33</f>
        <v>51054.067586293488</v>
      </c>
      <c r="P33" s="45">
        <f>(10^9)*'6'!N33/'10'!$M33</f>
        <v>50249.048528299681</v>
      </c>
      <c r="Q33" s="45">
        <f>(10^9)*'6'!O33/'10'!$M33</f>
        <v>50045.027422671759</v>
      </c>
      <c r="R33" s="45">
        <f>(10^9)*'6'!P33/'10'!$M33</f>
        <v>-8217741.6500835866</v>
      </c>
      <c r="S33" s="45">
        <f>(10^9)*'6'!Q33/'10'!$M33</f>
        <v>42807.903807439216</v>
      </c>
      <c r="T33" s="45">
        <f>(10^9)*'6'!R33/'10'!$M33</f>
        <v>-8218754.8038525023</v>
      </c>
      <c r="U33" s="45">
        <f>(10^9)*'6'!S33/'10'!$M33</f>
        <v>41798.863643817494</v>
      </c>
    </row>
    <row r="34" spans="1:22">
      <c r="A34" s="204">
        <v>1999</v>
      </c>
      <c r="B34" s="45">
        <v>279328</v>
      </c>
      <c r="C34" s="45">
        <f>'6'!B34/'10'!B34*10^6</f>
        <v>45145.850040096237</v>
      </c>
      <c r="D34" s="45">
        <f>'6'!C34/'10'!$B34*10^6</f>
        <v>45301.222935044105</v>
      </c>
      <c r="E34" s="45">
        <f>'6'!D34/'10'!$B34*10^6</f>
        <v>45278.668805132314</v>
      </c>
      <c r="F34" s="45">
        <f>'6'!E34/'10'!$B34*10^6</f>
        <v>45434.399702142291</v>
      </c>
      <c r="G34" s="45">
        <f>'6'!F34/'10'!$B34*10^6</f>
        <v>39243.828044449532</v>
      </c>
      <c r="H34" s="45">
        <f>'6'!G34/'10'!$B34*10^6</f>
        <v>39401.706953832057</v>
      </c>
      <c r="I34" s="45">
        <f>'6'!H34/'10'!$B34*10^6</f>
        <v>39373.0667888647</v>
      </c>
      <c r="J34" s="45">
        <f>'6'!I34/'10'!$B34*10^6</f>
        <v>39114.671685604699</v>
      </c>
      <c r="K34" s="45"/>
      <c r="L34" s="120">
        <v>2011</v>
      </c>
      <c r="M34" s="45">
        <v>34298450.75</v>
      </c>
      <c r="N34" s="45">
        <f>(10^9)*'6'!L34/'10'!$M34</f>
        <v>52351.030753189341</v>
      </c>
      <c r="O34" s="45">
        <f>(10^9)*'6'!M34/'10'!$M34</f>
        <v>52578.300967459181</v>
      </c>
      <c r="P34" s="45">
        <f>(10^9)*'6'!N34/'10'!$M34</f>
        <v>51362.209787130858</v>
      </c>
      <c r="Q34" s="45">
        <f>(10^9)*'6'!O34/'10'!$M34</f>
        <v>51585.18725778901</v>
      </c>
      <c r="R34" s="45">
        <f>(10^9)*'6'!P34/'10'!$M34</f>
        <v>-8301672.7365717711</v>
      </c>
      <c r="S34" s="45">
        <f>(10^9)*'6'!Q34/'10'!$M34</f>
        <v>44278.100259284438</v>
      </c>
      <c r="T34" s="45">
        <f>(10^9)*'6'!R34/'10'!$M34</f>
        <v>-8302661.5575378286</v>
      </c>
      <c r="U34" s="45">
        <f>(10^9)*'6'!S34/'10'!$M34</f>
        <v>43284.986549614259</v>
      </c>
    </row>
    <row r="35" spans="1:22">
      <c r="A35" s="204">
        <v>2000</v>
      </c>
      <c r="B35" s="45">
        <v>282398</v>
      </c>
      <c r="C35" s="45">
        <f>'6'!B35/'10'!B35*10^6</f>
        <v>46498.204661506104</v>
      </c>
      <c r="D35" s="45">
        <f>'6'!C35/'10'!$B35*10^6</f>
        <v>46935.884815048266</v>
      </c>
      <c r="E35" s="45">
        <f>'6'!D35/'10'!$B35*10^6</f>
        <v>46671.718638233979</v>
      </c>
      <c r="F35" s="45">
        <f>'6'!E35/'10'!$B35*10^6</f>
        <v>47109.398791776148</v>
      </c>
      <c r="G35" s="45">
        <f>'6'!F35/'10'!$B35*10^6</f>
        <v>40285.341964178217</v>
      </c>
      <c r="H35" s="45">
        <f>'6'!G35/'10'!$B35*10^6</f>
        <v>40730.10432085213</v>
      </c>
      <c r="I35" s="45">
        <f>'6'!H35/'10'!$B35*10^6</f>
        <v>40455.314839340223</v>
      </c>
      <c r="J35" s="45">
        <f>'6'!I35/'10'!$B35*10^6</f>
        <v>40079.782109774016</v>
      </c>
      <c r="K35" s="45"/>
      <c r="L35" s="120">
        <v>2012</v>
      </c>
      <c r="M35" s="45">
        <v>34664840.25</v>
      </c>
      <c r="N35" s="45">
        <f>(10^9)*'6'!L35/'10'!$M35</f>
        <v>52710.527059186432</v>
      </c>
      <c r="O35" s="45">
        <f>(10^9)*'6'!M35/'10'!$M35</f>
        <v>52710.527059186425</v>
      </c>
      <c r="P35" s="45">
        <f>(10^9)*'6'!N35/'10'!$M35</f>
        <v>51775.227782854148</v>
      </c>
      <c r="Q35" s="45">
        <f>(10^9)*'6'!O35/'10'!$M35</f>
        <v>51775.227782854134</v>
      </c>
      <c r="R35" s="45">
        <f>(10^9)*'6'!P35/'10'!$M35</f>
        <v>-8431616.3179035801</v>
      </c>
      <c r="S35" s="45">
        <f>(10^9)*'6'!Q35/'10'!$M35</f>
        <v>44226.195445974976</v>
      </c>
      <c r="T35" s="45">
        <f>(10^9)*'6'!R35/'10'!$M35</f>
        <v>-8432551.6171799097</v>
      </c>
      <c r="U35" s="45">
        <f>(10^9)*'6'!S35/'10'!$M35</f>
        <v>43290.89616964267</v>
      </c>
    </row>
    <row r="36" spans="1:22" s="42" customFormat="1">
      <c r="A36" s="204">
        <v>2001</v>
      </c>
      <c r="B36" s="45">
        <v>285225</v>
      </c>
      <c r="C36" s="45">
        <f>'6'!B36/'10'!B36*10^6</f>
        <v>46496.976071522484</v>
      </c>
      <c r="D36" s="45">
        <f>'6'!C36/'10'!$B36*10^6</f>
        <v>46994.127443246558</v>
      </c>
      <c r="E36" s="45">
        <f>'6'!D36/'10'!$B36*10^6</f>
        <v>46726.268735209051</v>
      </c>
      <c r="F36" s="45">
        <f>'6'!E36/'10'!$B36*10^6</f>
        <v>47223.420106933117</v>
      </c>
      <c r="G36" s="45">
        <f>'6'!F36/'10'!$B36*10^6</f>
        <v>40015.426417740375</v>
      </c>
      <c r="H36" s="45">
        <f>'6'!G36/'10'!$B36*10^6</f>
        <v>40519.589797528264</v>
      </c>
      <c r="I36" s="45">
        <f>'6'!H36/'10'!$B36*10^6</f>
        <v>40242.264878604612</v>
      </c>
      <c r="J36" s="45">
        <f>'6'!I36/'10'!$B36*10^6</f>
        <v>40077.302718225394</v>
      </c>
      <c r="K36" s="45"/>
      <c r="L36" s="120">
        <v>2013</v>
      </c>
      <c r="M36" s="45">
        <v>35034038.75</v>
      </c>
      <c r="N36" s="45">
        <f>(10^9)*'6'!L36/'10'!$M36</f>
        <v>53370.352568899871</v>
      </c>
      <c r="O36" s="45">
        <f>(10^9)*'6'!M36/'10'!$M36</f>
        <v>53384.205832009779</v>
      </c>
      <c r="P36" s="45">
        <f>(10^9)*'6'!N36/'10'!$M36</f>
        <v>52557.50026600431</v>
      </c>
      <c r="Q36" s="45">
        <f>(10^9)*'6'!O36/'10'!$M36</f>
        <v>52571.142538249835</v>
      </c>
      <c r="R36" s="45">
        <f>(10^9)*'6'!P36/'10'!$M36</f>
        <v>-8650570.2593851648</v>
      </c>
      <c r="S36" s="45">
        <f>(10^9)*'6'!Q36/'10'!$M36</f>
        <v>44713.17710590268</v>
      </c>
      <c r="T36" s="45">
        <f>(10^9)*'6'!R36/'10'!$M36</f>
        <v>-8651383.1116880588</v>
      </c>
      <c r="U36" s="45">
        <f>(10^9)*'6'!S36/'10'!$M36</f>
        <v>43900.113812142743</v>
      </c>
    </row>
    <row r="37" spans="1:22">
      <c r="A37" s="204">
        <v>2002</v>
      </c>
      <c r="B37" s="45">
        <v>287955</v>
      </c>
      <c r="C37" s="45">
        <f>'6'!B37/'10'!B37*10^6</f>
        <v>46858.363285930092</v>
      </c>
      <c r="D37" s="45">
        <f>'6'!C37/'10'!$B37*10^6</f>
        <v>47169.523015748993</v>
      </c>
      <c r="E37" s="45">
        <f>'6'!D37/'10'!$B37*10^6</f>
        <v>47067.076452917994</v>
      </c>
      <c r="F37" s="45">
        <f>'6'!E37/'10'!$B37*10^6</f>
        <v>47378.583459221059</v>
      </c>
      <c r="G37" s="45">
        <f>'6'!F37/'10'!$B37*10^6</f>
        <v>40200.378531367751</v>
      </c>
      <c r="H37" s="45">
        <f>'6'!G37/'10'!$B37*10^6</f>
        <v>40515.358302512541</v>
      </c>
      <c r="I37" s="45">
        <f>'6'!H37/'10'!$B37*10^6</f>
        <v>40406.313486482264</v>
      </c>
      <c r="J37" s="45">
        <f>'6'!I37/'10'!$B37*10^6</f>
        <v>40430.309360969797</v>
      </c>
      <c r="K37" s="45"/>
      <c r="L37" s="120">
        <v>2014</v>
      </c>
      <c r="M37" s="45">
        <v>35392413.5</v>
      </c>
      <c r="N37" s="45">
        <f>(10^9)*'6'!L37/'10'!$M37</f>
        <v>54345.340139066808</v>
      </c>
      <c r="O37" s="45">
        <f>(10^9)*'6'!M37/'10'!$M37</f>
        <v>54163.915850075857</v>
      </c>
      <c r="P37" s="45">
        <f>(10^9)*'6'!N37/'10'!$M37</f>
        <v>53467.186314507475</v>
      </c>
      <c r="Q37" s="45">
        <f>(10^9)*'6'!O37/'10'!$M37</f>
        <v>53288.693618783538</v>
      </c>
      <c r="R37" s="45">
        <f>(10^9)*'6'!P37/'10'!$M37</f>
        <v>-8660040.5287780445</v>
      </c>
      <c r="S37" s="45">
        <f>(10^9)*'6'!Q37/'10'!$M37</f>
        <v>45388.397719735309</v>
      </c>
      <c r="T37" s="45">
        <f>(10^9)*'6'!R37/'10'!$M37</f>
        <v>-8660918.6826026049</v>
      </c>
      <c r="U37" s="45">
        <f>(10^9)*'6'!S37/'10'!$M37</f>
        <v>44513.175488442983</v>
      </c>
    </row>
    <row r="38" spans="1:22">
      <c r="A38" s="204">
        <v>2003</v>
      </c>
      <c r="B38" s="45">
        <v>290626</v>
      </c>
      <c r="C38" s="45">
        <f>'6'!B38/'10'!B38*10^6</f>
        <v>47755.878689449673</v>
      </c>
      <c r="D38" s="45">
        <f>'6'!C38/'10'!$B38*10^6</f>
        <v>47812.996772484228</v>
      </c>
      <c r="E38" s="45">
        <f>'6'!D38/'10'!$B38*10^6</f>
        <v>48013.59823278027</v>
      </c>
      <c r="F38" s="45">
        <f>'6'!E38/'10'!$B38*10^6</f>
        <v>48070.372230977271</v>
      </c>
      <c r="G38" s="45">
        <f>'6'!F38/'10'!$B38*10^6</f>
        <v>40948.160178373582</v>
      </c>
      <c r="H38" s="45">
        <f>'6'!G38/'10'!$B38*10^6</f>
        <v>41005.622346245691</v>
      </c>
      <c r="I38" s="45">
        <f>'6'!H38/'10'!$B38*10^6</f>
        <v>41203.127043003726</v>
      </c>
      <c r="J38" s="45">
        <f>'6'!I38/'10'!$B38*10^6</f>
        <v>41240.0904761157</v>
      </c>
      <c r="K38" s="45"/>
      <c r="L38" s="13">
        <v>2015</v>
      </c>
      <c r="M38" s="45">
        <v>35678065</v>
      </c>
      <c r="N38" s="45">
        <f>(10^9)*'6'!L38/'10'!$M38</f>
        <v>54282.161882938439</v>
      </c>
      <c r="O38" s="45">
        <f>(10^9)*'6'!M38/'10'!$M38</f>
        <v>52789.402936137012</v>
      </c>
      <c r="P38" s="45">
        <f>(10^9)*'6'!N38/'10'!$M38</f>
        <v>53450.600764946605</v>
      </c>
      <c r="Q38" s="45">
        <f>(10^9)*'6'!O38/'10'!$M38</f>
        <v>51980.70974115406</v>
      </c>
      <c r="R38" s="45">
        <f>(10^9)*'6'!P38/'10'!$M38</f>
        <v>-8841047.8046179041</v>
      </c>
      <c r="S38" s="45">
        <f>(10^9)*'6'!Q38/'10'!$M38</f>
        <v>43710.487791635118</v>
      </c>
      <c r="T38" s="45">
        <f>(10^9)*'6'!R38/'10'!$M38</f>
        <v>-8841879.3657358959</v>
      </c>
      <c r="U38" s="45">
        <f>(10^9)*'6'!S38/'10'!$M38</f>
        <v>42901.794596652158</v>
      </c>
    </row>
    <row r="39" spans="1:22">
      <c r="A39" s="204">
        <v>2004</v>
      </c>
      <c r="B39" s="45">
        <v>293262</v>
      </c>
      <c r="C39" s="45">
        <f>'6'!B39/'10'!B39*10^6</f>
        <v>49124.67350014663</v>
      </c>
      <c r="D39" s="45">
        <f>'6'!C39/'10'!$B39*10^6</f>
        <v>49213.331423778051</v>
      </c>
      <c r="E39" s="45">
        <f>'6'!D39/'10'!$B39*10^6</f>
        <v>49454.071785638778</v>
      </c>
      <c r="F39" s="45">
        <f>'6'!E39/'10'!$B39*10^6</f>
        <v>49543.070701284181</v>
      </c>
      <c r="G39" s="45">
        <f>'6'!F39/'10'!$B39*10^6</f>
        <v>42136.042173892289</v>
      </c>
      <c r="H39" s="45">
        <f>'6'!G39/'10'!$B39*10^6</f>
        <v>42225.723073565619</v>
      </c>
      <c r="I39" s="45">
        <f>'6'!H39/'10'!$B39*10^6</f>
        <v>42463.735499314607</v>
      </c>
      <c r="J39" s="45">
        <f>'6'!I39/'10'!$B39*10^6</f>
        <v>42455.620389761702</v>
      </c>
      <c r="K39" s="45"/>
      <c r="L39" s="120">
        <v>2016</v>
      </c>
      <c r="M39" s="45">
        <v>36051758.25</v>
      </c>
      <c r="N39" s="45">
        <f>(10^9)*'6'!L39/'10'!$M39</f>
        <v>54314.23029138946</v>
      </c>
      <c r="O39" s="45">
        <f>(10^9)*'6'!M39/'10'!$M39</f>
        <v>52606.006222183074</v>
      </c>
      <c r="P39" s="45">
        <f>(10^9)*'6'!N39/'10'!$M39</f>
        <v>53660.308513811047</v>
      </c>
      <c r="Q39" s="45">
        <f>(10^9)*'6'!O39/'10'!$M39</f>
        <v>51972.650784472586</v>
      </c>
      <c r="R39" s="45">
        <f>(10^9)*'6'!P39/'10'!$M39</f>
        <v>-8799315.8110254221</v>
      </c>
      <c r="S39" s="45">
        <f>(10^9)*'6'!Q39/'10'!$M39</f>
        <v>43476.547722737341</v>
      </c>
      <c r="T39" s="45">
        <f>(10^9)*'6'!R39/'10'!$M39</f>
        <v>-8799969.7328030001</v>
      </c>
      <c r="U39" s="45">
        <f>(10^9)*'6'!S39/'10'!$M39</f>
        <v>42843.192285026853</v>
      </c>
    </row>
    <row r="40" spans="1:22">
      <c r="A40" s="204">
        <v>2005</v>
      </c>
      <c r="B40" s="45">
        <v>295993</v>
      </c>
      <c r="C40" s="45">
        <f>'6'!B40/'10'!B40*10^6</f>
        <v>50381.259016260519</v>
      </c>
      <c r="D40" s="45">
        <f>'6'!C40/'10'!$B40*10^6</f>
        <v>50594.101887544639</v>
      </c>
      <c r="E40" s="45">
        <f>'6'!D40/'10'!$B40*10^6</f>
        <v>50697.144864912341</v>
      </c>
      <c r="F40" s="45">
        <f>'6'!E40/'10'!$B40*10^6</f>
        <v>50910.325582023899</v>
      </c>
      <c r="G40" s="45">
        <f>'6'!F40/'10'!$B40*10^6</f>
        <v>43178.048129516574</v>
      </c>
      <c r="H40" s="45">
        <f>'6'!G40/'10'!$B40*10^6</f>
        <v>43393.255921592739</v>
      </c>
      <c r="I40" s="45">
        <f>'6'!H40/'10'!$B40*10^6</f>
        <v>43491.906903203788</v>
      </c>
      <c r="J40" s="45">
        <f>'6'!I40/'10'!$B40*10^6</f>
        <v>43267.313649752017</v>
      </c>
      <c r="K40" s="45"/>
      <c r="L40" s="13">
        <v>2017</v>
      </c>
      <c r="M40" s="45">
        <v>36489211.5</v>
      </c>
      <c r="N40" s="45">
        <f>(10^9)*'6'!L40/'10'!$M40</f>
        <v>55261.470914492085</v>
      </c>
      <c r="O40" s="45">
        <f>(10^9)*'6'!M40/'10'!$M40</f>
        <v>54105.584378122774</v>
      </c>
      <c r="P40" s="45">
        <f>(10^9)*'6'!N40/'10'!$M40</f>
        <v>54664.860858614142</v>
      </c>
      <c r="Q40" s="45">
        <f>(10^9)*'6'!O40/'10'!$M40</f>
        <v>53521.453424223844</v>
      </c>
      <c r="R40" s="45">
        <f>(10^9)*'6'!P40/'10'!$M40</f>
        <v>-8597021.4159324095</v>
      </c>
      <c r="S40" s="45">
        <f>(10^9)*'6'!Q40/'10'!$M40</f>
        <v>45156.581944564656</v>
      </c>
      <c r="T40" s="45">
        <f>(10^9)*'6'!R40/'10'!$M40</f>
        <v>-8597618.0259882864</v>
      </c>
      <c r="U40" s="45">
        <f>(10^9)*'6'!S40/'10'!$M40</f>
        <v>44572.450990665719</v>
      </c>
    </row>
    <row r="41" spans="1:22">
      <c r="A41" s="204">
        <v>2006</v>
      </c>
      <c r="B41" s="45">
        <v>298818</v>
      </c>
      <c r="C41" s="45">
        <f>'6'!B41/'10'!B41*10^6</f>
        <v>51329.906498269847</v>
      </c>
      <c r="D41" s="45">
        <f>'6'!C41/'10'!$B41*10^6</f>
        <v>52102.282995000307</v>
      </c>
      <c r="E41" s="45">
        <f>'6'!D41/'10'!$B41*10^6</f>
        <v>51531.701570855839</v>
      </c>
      <c r="F41" s="45">
        <f>'6'!E41/'10'!$B41*10^6</f>
        <v>52304.412719447959</v>
      </c>
      <c r="G41" s="45">
        <f>'6'!F41/'10'!$B41*10^6</f>
        <v>43890.930265245064</v>
      </c>
      <c r="H41" s="45">
        <f>'6'!G41/'10'!$B41*10^6</f>
        <v>44671.338406655552</v>
      </c>
      <c r="I41" s="45">
        <f>'6'!H41/'10'!$B41*10^6</f>
        <v>44089.378819214377</v>
      </c>
      <c r="J41" s="45">
        <f>'6'!I41/'10'!$B41*10^6</f>
        <v>43772.576843891831</v>
      </c>
      <c r="K41" s="45"/>
      <c r="L41" s="120">
        <v>2018</v>
      </c>
      <c r="M41" s="45">
        <v>36994404.25</v>
      </c>
      <c r="N41" s="45">
        <f>(10^9)*'6'!L41/'10'!$M41</f>
        <v>55530.769900153209</v>
      </c>
      <c r="O41" s="45">
        <f>(10^9)*'6'!M41/'10'!$M41</f>
        <v>54428.796080960674</v>
      </c>
      <c r="P41" s="45">
        <f>(10^9)*'6'!N41/'10'!$M41</f>
        <v>54816.447118219825</v>
      </c>
      <c r="Q41" s="45">
        <f>(10^9)*'6'!O41/'10'!$M41</f>
        <v>53728.648593293146</v>
      </c>
      <c r="R41" s="45">
        <f>(10^9)*'6'!P41/'10'!$M41</f>
        <v>-8677072.8079933338</v>
      </c>
      <c r="S41" s="45">
        <f>(10^9)*'6'!Q41/'10'!$M41</f>
        <v>45421.433604304482</v>
      </c>
      <c r="T41" s="45">
        <f>(10^9)*'6'!R41/'10'!$M41</f>
        <v>-8677787.1307752654</v>
      </c>
      <c r="U41" s="45">
        <f>(10^9)*'6'!S41/'10'!$M41</f>
        <v>44721.28611663694</v>
      </c>
    </row>
    <row r="42" spans="1:22">
      <c r="A42" s="120">
        <v>2007</v>
      </c>
      <c r="B42" s="45">
        <v>301696</v>
      </c>
      <c r="C42" s="45">
        <f>'6'!B42/'10'!B42*10^6</f>
        <v>51793.858718710224</v>
      </c>
      <c r="D42" s="45">
        <f>'6'!C42/'10'!$B42*10^6</f>
        <v>51730.549957573188</v>
      </c>
      <c r="E42" s="45">
        <f>'6'!D42/'10'!$B42*10^6</f>
        <v>52199.233665676707</v>
      </c>
      <c r="F42" s="45">
        <f>'6'!E42/'10'!$B42*10^6</f>
        <v>52135.924904539672</v>
      </c>
      <c r="G42" s="45">
        <f>'6'!F42/'10'!$B42*10^6</f>
        <v>44125.54359355112</v>
      </c>
      <c r="H42" s="45">
        <f>'6'!G42/'10'!$B42*10^6</f>
        <v>44061.571913449305</v>
      </c>
      <c r="I42" s="45">
        <f>'6'!H42/'10'!$B42*10^6</f>
        <v>44529.26124310564</v>
      </c>
      <c r="J42" s="45">
        <f>'6'!I42/'10'!$B42*10^6</f>
        <v>44251.043520003819</v>
      </c>
      <c r="K42" s="45"/>
    </row>
    <row r="43" spans="1:22">
      <c r="A43" s="120">
        <v>2008</v>
      </c>
      <c r="B43" s="45">
        <v>304543</v>
      </c>
      <c r="C43" s="45">
        <f>'6'!B43/'10'!B43*10^6</f>
        <v>51239.726409735245</v>
      </c>
      <c r="D43" s="45">
        <f>'6'!C43/'10'!$B43*10^6</f>
        <v>50603.034711026026</v>
      </c>
      <c r="E43" s="45">
        <f>'6'!D43/'10'!$B43*10^6</f>
        <v>51787.760677474122</v>
      </c>
      <c r="F43" s="45">
        <f>'6'!E43/'10'!$B43*10^6</f>
        <v>51150.740617909461</v>
      </c>
      <c r="G43" s="45">
        <f>'6'!F43/'10'!$B43*10^6</f>
        <v>43386.319830040418</v>
      </c>
      <c r="H43" s="45">
        <f>'6'!G43/'10'!$B43*10^6</f>
        <v>42744.045996788635</v>
      </c>
      <c r="I43" s="45">
        <f>'6'!H43/'10'!$B43*10^6</f>
        <v>43934.025736923853</v>
      </c>
      <c r="J43" s="45">
        <f>'6'!I43/'10'!$B43*10^6</f>
        <v>43308.040873345541</v>
      </c>
      <c r="K43" s="45"/>
      <c r="L43" s="5" t="s">
        <v>141</v>
      </c>
      <c r="M43" s="42"/>
      <c r="N43" s="42"/>
      <c r="O43" s="42"/>
      <c r="P43" s="42"/>
      <c r="Q43" s="42"/>
      <c r="R43" s="42"/>
      <c r="S43" s="42"/>
      <c r="T43" s="9"/>
      <c r="U43" s="4"/>
    </row>
    <row r="44" spans="1:22">
      <c r="A44" s="120">
        <v>2009</v>
      </c>
      <c r="B44" s="45">
        <v>307240</v>
      </c>
      <c r="C44" s="45">
        <f>'6'!B44/'10'!B44*10^6</f>
        <v>49501.367009503971</v>
      </c>
      <c r="D44" s="45">
        <f>'6'!C44/'10'!$B44*10^6</f>
        <v>48843.249576878006</v>
      </c>
      <c r="E44" s="45">
        <f>'6'!D44/'10'!$B44*10^6</f>
        <v>49991.53756021351</v>
      </c>
      <c r="F44" s="45">
        <f>'6'!E44/'10'!$B44*10^6</f>
        <v>49333.094649134226</v>
      </c>
      <c r="G44" s="45">
        <f>'6'!F44/'10'!$B44*10^6</f>
        <v>41569.45710193985</v>
      </c>
      <c r="H44" s="45">
        <f>'6'!G44/'10'!$B44*10^6</f>
        <v>40908.084884780626</v>
      </c>
      <c r="I44" s="45">
        <f>'6'!H44/'10'!$B44*10^6</f>
        <v>42058.651217289414</v>
      </c>
      <c r="J44" s="45">
        <f>'6'!I44/'10'!$B44*10^6</f>
        <v>42072.456787471703</v>
      </c>
      <c r="K44" s="45"/>
      <c r="L44" s="66" t="s">
        <v>138</v>
      </c>
      <c r="M44" s="72">
        <f t="shared" ref="M44:U44" si="0">((M12/M4)^(1/8)-1)*100</f>
        <v>1.1761637237922562</v>
      </c>
      <c r="N44" s="57">
        <f t="shared" si="0"/>
        <v>1.6462546558977387</v>
      </c>
      <c r="O44" s="57">
        <f t="shared" si="0"/>
        <v>1.5560343945545174</v>
      </c>
      <c r="P44" s="57">
        <f t="shared" si="0"/>
        <v>1.6332084438205774</v>
      </c>
      <c r="Q44" s="57">
        <f t="shared" si="0"/>
        <v>1.5429997621727143</v>
      </c>
      <c r="R44" s="57">
        <f t="shared" si="0"/>
        <v>2.3301851263872075</v>
      </c>
      <c r="S44" s="57">
        <f t="shared" si="0"/>
        <v>1.6772943218095415</v>
      </c>
      <c r="T44" s="57">
        <f t="shared" si="0"/>
        <v>2.330102761820152</v>
      </c>
      <c r="U44" s="58">
        <f t="shared" si="0"/>
        <v>1.6668494486540508</v>
      </c>
    </row>
    <row r="45" spans="1:22">
      <c r="A45" s="120">
        <v>2010</v>
      </c>
      <c r="B45" s="45">
        <v>309780</v>
      </c>
      <c r="C45" s="45">
        <f>'6'!B45/'10'!B45*10^6</f>
        <v>50354.445090063913</v>
      </c>
      <c r="D45" s="45">
        <f>'6'!C45/'10'!$B45*10^6</f>
        <v>50149.138098005038</v>
      </c>
      <c r="E45" s="45">
        <f>'6'!D45/'10'!$B45*10^6</f>
        <v>51016.527858480207</v>
      </c>
      <c r="F45" s="45">
        <f>'6'!E45/'10'!$B45*10^6</f>
        <v>50811.543676157271</v>
      </c>
      <c r="G45" s="45">
        <f>'6'!F45/'10'!$B45*10^6</f>
        <v>42399.444767254179</v>
      </c>
      <c r="H45" s="45">
        <f>'6'!G45/'10'!$B45*10^6</f>
        <v>42194.137775195297</v>
      </c>
      <c r="I45" s="45">
        <f>'6'!H45/'10'!$B45*10^6</f>
        <v>43061.527535670473</v>
      </c>
      <c r="J45" s="45">
        <f>'6'!I45/'10'!$B45*10^6</f>
        <v>43074.958852336553</v>
      </c>
      <c r="K45" s="45"/>
      <c r="L45" s="67" t="s">
        <v>27</v>
      </c>
      <c r="M45" s="73">
        <f t="shared" ref="M45:U45" si="1">100*((M23/M12)^(1/11)-1)</f>
        <v>1.0856981822218392</v>
      </c>
      <c r="N45" s="10">
        <f t="shared" si="1"/>
        <v>1.5071261861590468</v>
      </c>
      <c r="O45" s="10">
        <f t="shared" si="1"/>
        <v>1.5004675274146839</v>
      </c>
      <c r="P45" s="10">
        <f t="shared" si="1"/>
        <v>1.584672416394306</v>
      </c>
      <c r="Q45" s="10">
        <f t="shared" si="1"/>
        <v>1.5780086707767094</v>
      </c>
      <c r="R45" s="10">
        <f t="shared" si="1"/>
        <v>2.5063057952513512</v>
      </c>
      <c r="S45" s="10">
        <f t="shared" si="1"/>
        <v>1.4926093320763334</v>
      </c>
      <c r="T45" s="10">
        <f t="shared" si="1"/>
        <v>2.5055399707086812</v>
      </c>
      <c r="U45" s="11">
        <f t="shared" si="1"/>
        <v>1.5839299361811721</v>
      </c>
    </row>
    <row r="46" spans="1:22">
      <c r="A46" s="120">
        <v>2011</v>
      </c>
      <c r="B46" s="45">
        <v>312033</v>
      </c>
      <c r="C46" s="45">
        <f>'6'!B46/'10'!B46*10^6</f>
        <v>50766.104867113412</v>
      </c>
      <c r="D46" s="45">
        <f>'6'!C46/'10'!$B46*10^6</f>
        <v>50939.804443760753</v>
      </c>
      <c r="E46" s="45">
        <f>'6'!D46/'10'!$B46*10^6</f>
        <v>51538.45907323905</v>
      </c>
      <c r="F46" s="45">
        <f>'6'!E46/'10'!$B46*10^6</f>
        <v>51712.158649886391</v>
      </c>
      <c r="G46" s="45">
        <f>'6'!F46/'10'!$B46*10^6</f>
        <v>42717.597177221636</v>
      </c>
      <c r="H46" s="45">
        <f>'6'!G46/'10'!$B46*10^6</f>
        <v>42891.617232792691</v>
      </c>
      <c r="I46" s="45">
        <f>'6'!H46/'10'!$B46*10^6</f>
        <v>43489.951383347267</v>
      </c>
      <c r="J46" s="45">
        <f>'6'!I46/'10'!$B46*10^6</f>
        <v>43404.202579674398</v>
      </c>
      <c r="K46" s="45"/>
      <c r="L46" s="67" t="s">
        <v>28</v>
      </c>
      <c r="M46" s="73">
        <f t="shared" ref="M46:U46" si="2">100*((M31/M23)^(1/8)-1)</f>
        <v>1.0048208198238484</v>
      </c>
      <c r="N46" s="10">
        <f t="shared" si="2"/>
        <v>1.3059345420549873</v>
      </c>
      <c r="O46" s="10">
        <f t="shared" si="2"/>
        <v>1.9655343089618471</v>
      </c>
      <c r="P46" s="10">
        <f t="shared" si="2"/>
        <v>1.4553076754418637</v>
      </c>
      <c r="Q46" s="10">
        <f t="shared" si="2"/>
        <v>2.1158800061418459</v>
      </c>
      <c r="R46" s="10">
        <f t="shared" si="2"/>
        <v>2.0411997815951821</v>
      </c>
      <c r="S46" s="10">
        <f t="shared" si="2"/>
        <v>1.8816295538229832</v>
      </c>
      <c r="T46" s="10">
        <f t="shared" si="2"/>
        <v>2.0401241360554767</v>
      </c>
      <c r="U46" s="11">
        <f t="shared" si="2"/>
        <v>2.0574078638535997</v>
      </c>
    </row>
    <row r="47" spans="1:22">
      <c r="A47" s="120">
        <v>2012</v>
      </c>
      <c r="B47" s="45">
        <v>314255</v>
      </c>
      <c r="C47" s="45">
        <f>'6'!B47/'10'!B47*10^6</f>
        <v>51540.946047000049</v>
      </c>
      <c r="D47" s="45">
        <f>'6'!C47/'10'!$B47*10^6</f>
        <v>52309.112026857176</v>
      </c>
      <c r="E47" s="45">
        <f>'6'!D47/'10'!$B47*10^6</f>
        <v>52280.1546514773</v>
      </c>
      <c r="F47" s="45">
        <f>'6'!E47/'10'!$B47*10^6</f>
        <v>53048.320631334427</v>
      </c>
      <c r="G47" s="45">
        <f>'6'!F47/'10'!$B47*10^6</f>
        <v>43343.781324083946</v>
      </c>
      <c r="H47" s="45">
        <f>'6'!G47/'10'!$B47*10^6</f>
        <v>44111.947303941066</v>
      </c>
      <c r="I47" s="45">
        <f>'6'!H47/'10'!$B47*10^6</f>
        <v>44082.989928561197</v>
      </c>
      <c r="J47" s="45">
        <f>'6'!I47/'10'!$B47*10^6</f>
        <v>44082.989928561197</v>
      </c>
      <c r="K47" s="45"/>
      <c r="L47" s="87" t="s">
        <v>50</v>
      </c>
      <c r="M47" s="74">
        <f t="shared" ref="M47:U47" si="3">100*((M31/M5)^(1/26)-1)</f>
        <v>1.0840809931845108</v>
      </c>
      <c r="N47" s="59">
        <f t="shared" si="3"/>
        <v>1.7197888996651978</v>
      </c>
      <c r="O47" s="59">
        <f t="shared" si="3"/>
        <v>1.9174952059959338</v>
      </c>
      <c r="P47" s="59">
        <f t="shared" si="3"/>
        <v>1.7994258075222813</v>
      </c>
      <c r="Q47" s="59">
        <f t="shared" si="3"/>
        <v>1.9972868990631554</v>
      </c>
      <c r="R47" s="59">
        <f t="shared" si="3"/>
        <v>2.2511267862211026</v>
      </c>
      <c r="S47" s="59">
        <f t="shared" si="3"/>
        <v>1.9735068483312856</v>
      </c>
      <c r="T47" s="59">
        <f t="shared" si="3"/>
        <v>2.2504979386667401</v>
      </c>
      <c r="U47" s="60">
        <f t="shared" si="3"/>
        <v>2.0708281827301223</v>
      </c>
    </row>
    <row r="48" spans="1:22">
      <c r="A48" s="120">
        <v>2013</v>
      </c>
      <c r="B48" s="45">
        <v>316421</v>
      </c>
      <c r="C48" s="45">
        <f>'6'!B48/'10'!B48*10^6</f>
        <v>52131.179662538205</v>
      </c>
      <c r="D48" s="45">
        <f>'6'!C48/'10'!$B48*10^6</f>
        <v>52628.934236349676</v>
      </c>
      <c r="E48" s="45">
        <f>'6'!D48/'10'!$B48*10^6</f>
        <v>52848.262283476754</v>
      </c>
      <c r="F48" s="45">
        <f>'6'!E48/'10'!$B48*10^6</f>
        <v>53346.332891938277</v>
      </c>
      <c r="G48" s="45">
        <f>'6'!F48/'10'!$B48*10^6</f>
        <v>43757.525575104053</v>
      </c>
      <c r="H48" s="45">
        <f>'6'!G48/'10'!$B48*10^6</f>
        <v>44254.64807961545</v>
      </c>
      <c r="I48" s="45">
        <f>'6'!H48/'10'!$B48*10^6</f>
        <v>44474.608196042616</v>
      </c>
      <c r="J48" s="45">
        <f>'6'!I48/'10'!$B48*10^6</f>
        <v>44637.46539018875</v>
      </c>
      <c r="K48" s="45"/>
      <c r="L48" s="21"/>
      <c r="M48" s="10"/>
      <c r="N48" s="10"/>
      <c r="O48" s="10"/>
      <c r="P48" s="10"/>
      <c r="Q48" s="10"/>
      <c r="R48" s="10"/>
      <c r="S48" s="10"/>
      <c r="T48" s="10"/>
      <c r="U48" s="10"/>
      <c r="V48" s="9"/>
    </row>
    <row r="49" spans="1:35" s="42" customFormat="1">
      <c r="A49" s="120">
        <v>2014</v>
      </c>
      <c r="B49" s="45">
        <v>318717</v>
      </c>
      <c r="C49" s="45">
        <f>'6'!B49/'10'!B49*10^6</f>
        <v>53024.469984343472</v>
      </c>
      <c r="D49" s="45">
        <f>'6'!C49/'10'!$B49*10^6</f>
        <v>53929.347979555532</v>
      </c>
      <c r="E49" s="45">
        <f>'6'!D49/'10'!$B49*10^6</f>
        <v>53762.742495693667</v>
      </c>
      <c r="F49" s="45">
        <f>'6'!E49/'10'!$B49*10^6</f>
        <v>54667.620490905727</v>
      </c>
      <c r="G49" s="45">
        <f>'6'!F49/'10'!$B49*10^6</f>
        <v>44477.702789622141</v>
      </c>
      <c r="H49" s="45">
        <f>'6'!G49/'10'!$B49*10^6</f>
        <v>45382.26702686082</v>
      </c>
      <c r="I49" s="45">
        <f>'6'!H49/'10'!$B49*10^6</f>
        <v>45215.975300972335</v>
      </c>
      <c r="J49" s="45">
        <f>'6'!I49/'10'!$B49*10^6</f>
        <v>45433.776560696191</v>
      </c>
      <c r="K49" s="45"/>
      <c r="L49" s="69" t="s">
        <v>142</v>
      </c>
      <c r="M49" s="10"/>
      <c r="N49" s="10"/>
      <c r="O49" s="10"/>
      <c r="P49" s="10"/>
      <c r="Q49" s="10"/>
      <c r="R49" s="10"/>
      <c r="S49" s="10"/>
      <c r="T49" s="10"/>
      <c r="U49" s="10"/>
      <c r="V49" s="9"/>
    </row>
    <row r="50" spans="1:35" s="42" customFormat="1">
      <c r="A50" s="13">
        <v>2015</v>
      </c>
      <c r="B50" s="45">
        <v>321026</v>
      </c>
      <c r="C50" s="45">
        <f>'6'!B50/'10'!B50*10^6</f>
        <v>54159.787680748603</v>
      </c>
      <c r="D50" s="45">
        <f>'6'!C50/'10'!$B50*10^6</f>
        <v>54917.67021985758</v>
      </c>
      <c r="E50" s="45">
        <f>'6'!D50/'10'!$B50*10^6</f>
        <v>54850.074448798536</v>
      </c>
      <c r="F50" s="45">
        <f>'6'!E50/'10'!$B50*10^6</f>
        <v>55607.956987907521</v>
      </c>
      <c r="G50" s="45">
        <f>'6'!F50/'10'!$B50*10^6</f>
        <v>45442.425224125152</v>
      </c>
      <c r="H50" s="45">
        <f>'6'!G50/'10'!$B50*10^6</f>
        <v>46199.373259486776</v>
      </c>
      <c r="I50" s="45">
        <f>'6'!H50/'10'!$B50*10^6</f>
        <v>46132.711992175085</v>
      </c>
      <c r="J50" s="45">
        <f>'6'!I50/'10'!$B50*10^6</f>
        <v>46691.660277623545</v>
      </c>
      <c r="K50" s="45"/>
      <c r="L50" s="66" t="s">
        <v>200</v>
      </c>
      <c r="M50" s="72">
        <f>100*((M41/M23)^(1/18)-1)</f>
        <v>1.0511462783062475</v>
      </c>
      <c r="N50" s="72">
        <f t="shared" ref="N50:U50" si="4">100*((N41/N23)^(1/18)-1)</f>
        <v>0.90342332408874793</v>
      </c>
      <c r="O50" s="72">
        <f t="shared" si="4"/>
        <v>1.0099528006365155</v>
      </c>
      <c r="P50" s="72">
        <f t="shared" si="4"/>
        <v>0.97992345593977959</v>
      </c>
      <c r="Q50" s="72">
        <f t="shared" si="4"/>
        <v>1.0865336980228957</v>
      </c>
      <c r="R50" s="72">
        <f t="shared" si="4"/>
        <v>1.2584594011437744</v>
      </c>
      <c r="S50" s="72">
        <f t="shared" si="4"/>
        <v>0.90216903358744105</v>
      </c>
      <c r="T50" s="72">
        <f t="shared" si="4"/>
        <v>1.257916317774832</v>
      </c>
      <c r="U50" s="72">
        <f t="shared" si="4"/>
        <v>0.99074449307641199</v>
      </c>
      <c r="V50" s="9"/>
    </row>
    <row r="51" spans="1:35" s="42" customFormat="1">
      <c r="A51" s="120">
        <v>2016</v>
      </c>
      <c r="B51" s="45">
        <v>323317</v>
      </c>
      <c r="C51" s="45">
        <f>'6'!B51/'10'!B51*10^6</f>
        <v>54618.841570347366</v>
      </c>
      <c r="D51" s="45">
        <f>'6'!C51/'10'!$B51*10^6</f>
        <v>54989.375751970976</v>
      </c>
      <c r="E51" s="45">
        <f>'6'!D51/'10'!$B51*10^6</f>
        <v>55264.028801454915</v>
      </c>
      <c r="F51" s="45">
        <f>'6'!E51/'10'!$B51*10^6</f>
        <v>55634.562983078518</v>
      </c>
      <c r="G51" s="45">
        <f>'6'!F51/'10'!$B51*10^6</f>
        <v>45744.888143834076</v>
      </c>
      <c r="H51" s="45">
        <f>'6'!G51/'10'!$B51*10^6</f>
        <v>46114.494443533746</v>
      </c>
      <c r="I51" s="45">
        <f>'6'!H51/'10'!$B51*10^6</f>
        <v>46390.38466891626</v>
      </c>
      <c r="J51" s="45">
        <f>'6'!I51/'10'!$B51*10^6</f>
        <v>47193.590936363726</v>
      </c>
      <c r="K51" s="45"/>
      <c r="L51" s="88" t="s">
        <v>201</v>
      </c>
      <c r="M51" s="73">
        <f>100*((M41/M31)^(1/10)-1)</f>
        <v>1.0882219424550366</v>
      </c>
      <c r="N51" s="73">
        <f t="shared" ref="N51:U51" si="5">100*((N41/N31)^(1/10)-1)</f>
        <v>0.58256612762641602</v>
      </c>
      <c r="O51" s="73">
        <f t="shared" si="5"/>
        <v>0.25193947853274778</v>
      </c>
      <c r="P51" s="73">
        <f t="shared" si="5"/>
        <v>0.60122037108925053</v>
      </c>
      <c r="Q51" s="73">
        <f t="shared" si="5"/>
        <v>0.2705324033173806</v>
      </c>
      <c r="R51" s="73">
        <f t="shared" si="5"/>
        <v>0.63659238415330055</v>
      </c>
      <c r="S51" s="73">
        <f t="shared" si="5"/>
        <v>0.12538467530540665</v>
      </c>
      <c r="T51" s="73">
        <f t="shared" si="5"/>
        <v>0.63646951087799053</v>
      </c>
      <c r="U51" s="73">
        <f t="shared" si="5"/>
        <v>0.14544621218952614</v>
      </c>
      <c r="V51" s="9"/>
    </row>
    <row r="52" spans="1:35" s="42" customFormat="1">
      <c r="A52" s="13">
        <v>2017</v>
      </c>
      <c r="B52" s="45">
        <v>325410</v>
      </c>
      <c r="C52" s="45">
        <f>'6'!B52/'10'!B52*10^6</f>
        <v>55470.637042500239</v>
      </c>
      <c r="D52" s="45">
        <f>'6'!C52/'10'!$B52*10^6</f>
        <v>55878.122983313355</v>
      </c>
      <c r="E52" s="45">
        <f>'6'!D52/'10'!$B52*10^6</f>
        <v>56187.578746811712</v>
      </c>
      <c r="F52" s="45">
        <f>'6'!E52/'10'!$B52*10^6</f>
        <v>56595.371992255932</v>
      </c>
      <c r="G52" s="45">
        <f>'6'!F52/'10'!$B52*10^6</f>
        <v>46378.414922712887</v>
      </c>
      <c r="H52" s="45">
        <f>'6'!G52/'10'!$B52*10^6</f>
        <v>46784.057035739526</v>
      </c>
      <c r="I52" s="45">
        <f>'6'!H52/'10'!$B52*10^6</f>
        <v>47095.356627024368</v>
      </c>
      <c r="J52" s="45">
        <f>'6'!I52/'10'!$B52*10^6</f>
        <v>47998.543706230266</v>
      </c>
      <c r="K52" s="45"/>
      <c r="L52" s="101" t="s">
        <v>202</v>
      </c>
      <c r="M52" s="74">
        <f>100*((M41/M4)^(1/37)-1)</f>
        <v>1.0884376813770524</v>
      </c>
      <c r="N52" s="74">
        <f t="shared" ref="N52:U52" si="6">100*((N41/N4)^(1/37)-1)</f>
        <v>1.2429616349675321</v>
      </c>
      <c r="O52" s="74">
        <f t="shared" si="6"/>
        <v>1.2735255297006809</v>
      </c>
      <c r="P52" s="74">
        <f t="shared" si="6"/>
        <v>1.3004810503107533</v>
      </c>
      <c r="Q52" s="74">
        <f t="shared" si="6"/>
        <v>1.3310623093853557</v>
      </c>
      <c r="R52" s="74">
        <f t="shared" si="6"/>
        <v>1.8594567883817081</v>
      </c>
      <c r="S52" s="74">
        <f t="shared" si="6"/>
        <v>1.2447281310930425</v>
      </c>
      <c r="T52" s="74">
        <f t="shared" si="6"/>
        <v>1.8589470497755389</v>
      </c>
      <c r="U52" s="74">
        <f t="shared" si="6"/>
        <v>1.3127911126759262</v>
      </c>
      <c r="V52" s="9"/>
    </row>
    <row r="53" spans="1:35" s="42" customFormat="1">
      <c r="A53" s="120">
        <v>2018</v>
      </c>
      <c r="B53" s="45">
        <v>327436</v>
      </c>
      <c r="C53" s="45">
        <f>'6'!B53/'10'!B53*10^6</f>
        <v>56702.37848006939</v>
      </c>
      <c r="D53" s="45">
        <f>'6'!C53/'10'!$B53*10^6</f>
        <v>56834.618062766473</v>
      </c>
      <c r="E53" s="45">
        <f>'6'!D53/'10'!$B53*10^6</f>
        <v>57464.359447342387</v>
      </c>
      <c r="F53" s="45">
        <f>'6'!E53/'10'!$B53*10^6</f>
        <v>57596.599030039462</v>
      </c>
      <c r="G53" s="45">
        <f>'6'!F53/'10'!$B53*10^6</f>
        <v>47382.083827068498</v>
      </c>
      <c r="H53" s="45">
        <f>'6'!G53/'10'!$B53*10^6</f>
        <v>47513.407200185691</v>
      </c>
      <c r="I53" s="45">
        <f>'6'!H53/'10'!$B53*10^6</f>
        <v>48143.453987954897</v>
      </c>
      <c r="J53" s="45">
        <f>'6'!I53/'10'!$B53*10^6</f>
        <v>49121.221686828161</v>
      </c>
      <c r="K53" s="45"/>
      <c r="L53" s="21"/>
      <c r="M53" s="10"/>
      <c r="N53" s="10"/>
      <c r="O53" s="10"/>
      <c r="P53" s="10"/>
      <c r="Q53" s="10"/>
      <c r="R53" s="10"/>
      <c r="S53" s="10"/>
      <c r="T53" s="10"/>
      <c r="U53" s="10"/>
      <c r="V53" s="9"/>
    </row>
    <row r="54" spans="1:35">
      <c r="A54" s="120"/>
      <c r="B54" s="45"/>
      <c r="C54" s="41"/>
      <c r="D54" s="41"/>
      <c r="E54" s="41"/>
      <c r="F54" s="41"/>
      <c r="G54" s="41"/>
      <c r="H54" s="41"/>
      <c r="I54" s="41"/>
      <c r="J54" s="45"/>
      <c r="K54" s="45"/>
    </row>
    <row r="55" spans="1:35">
      <c r="A55" s="5" t="s">
        <v>141</v>
      </c>
      <c r="B55" s="42"/>
      <c r="C55" s="42"/>
      <c r="D55" s="42"/>
      <c r="E55" s="42"/>
      <c r="F55" s="42"/>
      <c r="G55" s="42"/>
      <c r="H55" s="42"/>
      <c r="I55" s="9"/>
      <c r="J55" s="9"/>
      <c r="K55" s="45"/>
      <c r="L55" s="174" t="s">
        <v>127</v>
      </c>
      <c r="M55" s="174"/>
      <c r="N55" s="174"/>
      <c r="O55" s="174"/>
      <c r="P55" s="174"/>
      <c r="Q55" s="174"/>
      <c r="R55" s="174"/>
      <c r="S55" s="174"/>
      <c r="T55" s="174"/>
      <c r="U55" s="174"/>
    </row>
    <row r="56" spans="1:35">
      <c r="A56" s="66" t="s">
        <v>138</v>
      </c>
      <c r="B56" s="72">
        <f>((B24/B16)^(1/8)-1)*100</f>
        <v>0.91465540431414638</v>
      </c>
      <c r="C56" s="57">
        <f>((C24/C16)^(1/8)-1)*100</f>
        <v>2.6539023181406662</v>
      </c>
      <c r="D56" s="57">
        <f>((D24/D16)^(1/8)-1)*100</f>
        <v>2.6517173029193097</v>
      </c>
      <c r="E56" s="57">
        <f t="shared" ref="E56:J56" si="7">((E24/E16)^(1/8)-1)*100</f>
        <v>2.5713354647415754</v>
      </c>
      <c r="F56" s="57">
        <f>((F24/F16)^(1/8)-1)*100</f>
        <v>2.5680841138240762</v>
      </c>
      <c r="G56" s="57">
        <f t="shared" si="7"/>
        <v>2.5128590081107349</v>
      </c>
      <c r="H56" s="57">
        <f t="shared" si="7"/>
        <v>2.5109356484641632</v>
      </c>
      <c r="I56" s="57">
        <f t="shared" si="7"/>
        <v>2.4173692071396191</v>
      </c>
      <c r="J56" s="58">
        <f t="shared" si="7"/>
        <v>2.689309170613785</v>
      </c>
      <c r="K56" s="45"/>
      <c r="L56" s="174" t="s">
        <v>185</v>
      </c>
      <c r="M56" s="174"/>
      <c r="N56" s="174"/>
      <c r="O56" s="174"/>
      <c r="P56" s="174"/>
      <c r="Q56" s="174"/>
      <c r="R56" s="174"/>
      <c r="S56" s="174"/>
      <c r="T56" s="174"/>
      <c r="U56" s="174"/>
    </row>
    <row r="57" spans="1:35">
      <c r="A57" s="67" t="s">
        <v>27</v>
      </c>
      <c r="B57" s="73">
        <f>100*((B35/B24)^(1/11)-1)</f>
        <v>1.2105734851499239</v>
      </c>
      <c r="C57" s="10">
        <f>100*((C35/C24)^(1/11)-1)</f>
        <v>2.0597247157201126</v>
      </c>
      <c r="D57" s="10">
        <f t="shared" ref="D57:J57" si="8">100*((D35/D24)^(1/11)-1)</f>
        <v>2.2592594970804125</v>
      </c>
      <c r="E57" s="10">
        <f>100*((E35/E24)^(1/11)-1)</f>
        <v>2.0468641441157676</v>
      </c>
      <c r="F57" s="10">
        <f t="shared" si="8"/>
        <v>2.2456775910055793</v>
      </c>
      <c r="G57" s="10">
        <f>100*((G35/G24)^(1/11)-1)</f>
        <v>1.8929054326614736</v>
      </c>
      <c r="H57" s="10">
        <f t="shared" si="8"/>
        <v>2.1269621696438756</v>
      </c>
      <c r="I57" s="10">
        <f t="shared" si="8"/>
        <v>1.878597148005734</v>
      </c>
      <c r="J57" s="11">
        <f t="shared" si="8"/>
        <v>2.0807491398238787</v>
      </c>
      <c r="K57" s="45"/>
      <c r="L57" s="192" t="s">
        <v>119</v>
      </c>
      <c r="M57" s="192"/>
      <c r="N57" s="192"/>
      <c r="O57" s="192"/>
      <c r="P57" s="192"/>
      <c r="Q57" s="192"/>
      <c r="R57" s="192"/>
      <c r="S57" s="192"/>
      <c r="T57" s="192"/>
      <c r="U57" s="192"/>
    </row>
    <row r="58" spans="1:35" s="36" customFormat="1">
      <c r="A58" s="142" t="s">
        <v>28</v>
      </c>
      <c r="B58" s="73">
        <f t="shared" ref="B58:J58" si="9">100*((B43/B35)^(1/8)-1)</f>
        <v>0.94815261524316963</v>
      </c>
      <c r="C58" s="10">
        <f t="shared" si="9"/>
        <v>1.2211639965225896</v>
      </c>
      <c r="D58" s="10">
        <f t="shared" si="9"/>
        <v>0.94479819718222835</v>
      </c>
      <c r="E58" s="10">
        <f t="shared" si="9"/>
        <v>1.308682468899125</v>
      </c>
      <c r="F58" s="10">
        <f t="shared" si="9"/>
        <v>1.034115909391109</v>
      </c>
      <c r="G58" s="10">
        <f t="shared" si="9"/>
        <v>0.93126579894782235</v>
      </c>
      <c r="H58" s="10">
        <f t="shared" si="9"/>
        <v>0.60510374852491555</v>
      </c>
      <c r="I58" s="10">
        <f t="shared" si="9"/>
        <v>1.0364728748954111</v>
      </c>
      <c r="J58" s="11">
        <f t="shared" si="9"/>
        <v>0.97303220778428567</v>
      </c>
      <c r="K58" s="45"/>
    </row>
    <row r="59" spans="1:35" s="42" customFormat="1">
      <c r="A59" s="68" t="s">
        <v>155</v>
      </c>
      <c r="B59" s="74">
        <f t="shared" ref="B59:J59" si="10">100*((B43/B16)^(1/27)-1)</f>
        <v>1.0450458237028171</v>
      </c>
      <c r="C59" s="59">
        <f t="shared" si="10"/>
        <v>1.985804833256255</v>
      </c>
      <c r="D59" s="59">
        <f t="shared" si="10"/>
        <v>1.9836978330097566</v>
      </c>
      <c r="E59" s="59">
        <f t="shared" si="10"/>
        <v>1.982370051292115</v>
      </c>
      <c r="F59" s="59">
        <f t="shared" si="10"/>
        <v>1.9802751397131946</v>
      </c>
      <c r="G59" s="59">
        <f t="shared" si="10"/>
        <v>1.7898076807235208</v>
      </c>
      <c r="H59" s="59">
        <f t="shared" si="10"/>
        <v>1.7867721085433663</v>
      </c>
      <c r="I59" s="59">
        <f t="shared" si="10"/>
        <v>1.7872983459829905</v>
      </c>
      <c r="J59" s="60">
        <f t="shared" si="10"/>
        <v>1.9306321691707096</v>
      </c>
      <c r="K59" s="45"/>
    </row>
    <row r="60" spans="1:35" s="42" customFormat="1">
      <c r="A60" s="13"/>
      <c r="B60" s="10"/>
      <c r="C60" s="10"/>
      <c r="D60" s="10"/>
      <c r="E60" s="10"/>
      <c r="F60" s="10"/>
      <c r="G60" s="10"/>
      <c r="H60" s="10"/>
      <c r="I60" s="10"/>
      <c r="J60" s="10"/>
      <c r="K60" s="45"/>
      <c r="L60" s="15"/>
      <c r="M60" s="41"/>
      <c r="N60" s="15"/>
      <c r="O60" s="15"/>
      <c r="P60" s="15"/>
      <c r="Q60" s="15"/>
      <c r="R60" s="15"/>
      <c r="S60" s="15"/>
      <c r="T60" s="15"/>
      <c r="U60" s="15"/>
    </row>
    <row r="61" spans="1:35" s="42" customFormat="1">
      <c r="A61" s="69" t="s">
        <v>142</v>
      </c>
      <c r="B61" s="10"/>
      <c r="C61" s="10"/>
      <c r="D61" s="10"/>
      <c r="E61" s="10"/>
      <c r="F61" s="10"/>
      <c r="G61" s="10"/>
      <c r="H61" s="10"/>
      <c r="I61" s="10"/>
      <c r="J61" s="10"/>
      <c r="K61" s="45"/>
      <c r="L61" s="14"/>
      <c r="M61" s="41"/>
      <c r="N61" s="15"/>
      <c r="O61" s="15"/>
      <c r="P61" s="15"/>
      <c r="Q61" s="15"/>
      <c r="R61" s="15"/>
      <c r="S61" s="9"/>
      <c r="T61" s="15"/>
      <c r="U61" s="15"/>
    </row>
    <row r="62" spans="1:35" s="42" customFormat="1">
      <c r="A62" s="135" t="s">
        <v>202</v>
      </c>
      <c r="B62" s="72">
        <f>100*((B53/B16)^(1/37)-1)</f>
        <v>0.95910678470720878</v>
      </c>
      <c r="C62" s="72">
        <f t="shared" ref="C62:I62" si="11">100*((C53/C16)^(1/37)-1)</f>
        <v>1.7233684535394422</v>
      </c>
      <c r="D62" s="72">
        <f t="shared" si="11"/>
        <v>1.7626226180063931</v>
      </c>
      <c r="E62" s="72">
        <f t="shared" si="11"/>
        <v>1.728319228634323</v>
      </c>
      <c r="F62" s="72">
        <f t="shared" si="11"/>
        <v>1.7671506566622419</v>
      </c>
      <c r="G62" s="72">
        <f t="shared" si="11"/>
        <v>1.5444385335561472</v>
      </c>
      <c r="H62" s="72">
        <f t="shared" si="11"/>
        <v>1.590766572715796</v>
      </c>
      <c r="I62" s="72">
        <f t="shared" si="11"/>
        <v>1.5519324348036267</v>
      </c>
      <c r="J62" s="72">
        <f>100*((J53/J16)^(1/37)-1)</f>
        <v>1.7509785506275799</v>
      </c>
      <c r="K62" s="85"/>
      <c r="L62" s="14"/>
      <c r="M62" s="45"/>
      <c r="N62" s="15"/>
      <c r="O62" s="15"/>
      <c r="P62" s="15"/>
      <c r="Q62" s="15"/>
      <c r="R62" s="15"/>
      <c r="S62" s="15"/>
      <c r="T62" s="15"/>
      <c r="U62" s="15"/>
      <c r="AI62" s="9"/>
    </row>
    <row r="63" spans="1:35" s="42" customFormat="1">
      <c r="A63" s="67" t="s">
        <v>200</v>
      </c>
      <c r="B63" s="73">
        <f>100*((B53/B35)^(1/18)-1)</f>
        <v>0.82547279645308613</v>
      </c>
      <c r="C63" s="73">
        <f t="shared" ref="C63:I63" si="12">100*((C53/C35)^(1/18)-1)</f>
        <v>1.108332866363293</v>
      </c>
      <c r="D63" s="73">
        <f t="shared" si="12"/>
        <v>1.0687995970661168</v>
      </c>
      <c r="E63" s="73">
        <f t="shared" si="12"/>
        <v>1.1624070221777583</v>
      </c>
      <c r="F63" s="73">
        <f t="shared" si="12"/>
        <v>1.122874046061284</v>
      </c>
      <c r="G63" s="73">
        <f t="shared" si="12"/>
        <v>0.90550006547911455</v>
      </c>
      <c r="H63" s="73">
        <f t="shared" si="12"/>
        <v>0.85947493113154305</v>
      </c>
      <c r="I63" s="73">
        <f t="shared" si="12"/>
        <v>0.97128190307496087</v>
      </c>
      <c r="J63" s="73">
        <f>100*((J53/J35)^(1/18)-1)</f>
        <v>1.1365161279456526</v>
      </c>
      <c r="K63" s="21"/>
      <c r="L63" s="14"/>
      <c r="M63" s="45"/>
      <c r="N63" s="15"/>
      <c r="O63" s="15"/>
      <c r="P63" s="15"/>
      <c r="Q63" s="15"/>
      <c r="R63" s="15"/>
      <c r="S63" s="15"/>
      <c r="T63" s="15"/>
      <c r="U63" s="15"/>
      <c r="AB63" s="12"/>
      <c r="AC63" s="12"/>
      <c r="AD63" s="12"/>
      <c r="AE63" s="12"/>
    </row>
    <row r="64" spans="1:35" s="42" customFormat="1">
      <c r="A64" s="79" t="s">
        <v>201</v>
      </c>
      <c r="B64" s="74">
        <f>100*((B53/B43)^(1/10)-1)</f>
        <v>0.72743629476319516</v>
      </c>
      <c r="C64" s="74">
        <f t="shared" ref="C64:I64" si="13">100*((C53/C43)^(1/10)-1)</f>
        <v>1.0181585253460801</v>
      </c>
      <c r="D64" s="74">
        <f t="shared" si="13"/>
        <v>1.1681103815012861</v>
      </c>
      <c r="E64" s="74">
        <f t="shared" si="13"/>
        <v>1.0455387442444453</v>
      </c>
      <c r="F64" s="74">
        <f t="shared" si="13"/>
        <v>1.1939366931955631</v>
      </c>
      <c r="G64" s="74">
        <f t="shared" si="13"/>
        <v>0.88489221456777845</v>
      </c>
      <c r="H64" s="74">
        <f t="shared" si="13"/>
        <v>1.0634348709851249</v>
      </c>
      <c r="I64" s="74">
        <f t="shared" si="13"/>
        <v>0.91915941203675189</v>
      </c>
      <c r="J64" s="74">
        <f>100*((J53/J43)^(1/10)-1)</f>
        <v>1.2674938234530364</v>
      </c>
      <c r="K64" s="13"/>
      <c r="L64" s="14"/>
      <c r="M64" s="45"/>
      <c r="N64" s="9"/>
      <c r="O64" s="15"/>
      <c r="P64" s="15"/>
      <c r="Q64" s="15"/>
      <c r="R64" s="15"/>
      <c r="S64" s="15"/>
      <c r="T64" s="15"/>
      <c r="U64" s="15"/>
    </row>
    <row r="65" spans="1:21" s="42" customFormat="1">
      <c r="A65" s="98"/>
      <c r="B65" s="41"/>
      <c r="C65" s="41"/>
      <c r="D65" s="41"/>
      <c r="E65" s="45"/>
      <c r="F65" s="41"/>
      <c r="G65" s="41"/>
      <c r="H65" s="41"/>
      <c r="I65" s="41"/>
      <c r="J65" s="45"/>
      <c r="K65" s="13"/>
      <c r="M65" s="9"/>
      <c r="N65" s="9"/>
    </row>
    <row r="66" spans="1:21" s="42" customFormat="1">
      <c r="A66" s="174" t="s">
        <v>126</v>
      </c>
      <c r="B66" s="174"/>
      <c r="C66" s="174"/>
      <c r="D66" s="174"/>
      <c r="E66" s="174"/>
      <c r="F66" s="174"/>
      <c r="G66" s="174"/>
      <c r="H66" s="174"/>
      <c r="I66" s="174"/>
      <c r="J66" s="174"/>
      <c r="K66" s="13"/>
    </row>
    <row r="67" spans="1:21" s="42" customFormat="1" ht="30" customHeight="1">
      <c r="A67" s="191" t="s">
        <v>184</v>
      </c>
      <c r="B67" s="191"/>
      <c r="C67" s="191"/>
      <c r="D67" s="191"/>
      <c r="E67" s="191"/>
      <c r="F67" s="191"/>
      <c r="G67" s="191"/>
      <c r="H67" s="191"/>
      <c r="I67" s="191"/>
      <c r="J67" s="191"/>
      <c r="K67" s="13"/>
      <c r="N67" s="9"/>
    </row>
    <row r="68" spans="1:21" s="42" customFormat="1">
      <c r="A68" s="192" t="s">
        <v>119</v>
      </c>
      <c r="B68" s="192"/>
      <c r="C68" s="192"/>
      <c r="D68" s="192"/>
      <c r="E68" s="192"/>
      <c r="F68" s="192"/>
      <c r="G68" s="192"/>
      <c r="H68" s="192"/>
      <c r="I68" s="192"/>
      <c r="J68" s="192"/>
      <c r="K68" s="13"/>
      <c r="L68" s="14"/>
      <c r="M68" s="15"/>
      <c r="N68" s="15"/>
      <c r="O68" s="15"/>
      <c r="P68" s="15"/>
      <c r="Q68" s="15"/>
      <c r="R68" s="15"/>
      <c r="S68" s="15"/>
      <c r="T68" s="15"/>
      <c r="U68" s="15"/>
    </row>
    <row r="69" spans="1:21" s="42" customFormat="1">
      <c r="A69" s="15"/>
      <c r="B69" s="15"/>
      <c r="C69" s="15"/>
      <c r="D69" s="15"/>
      <c r="E69" s="15"/>
      <c r="F69" s="15"/>
      <c r="G69" s="15"/>
      <c r="H69" s="15"/>
      <c r="I69" s="15"/>
      <c r="J69" s="15"/>
      <c r="K69" s="13"/>
      <c r="L69" s="14"/>
      <c r="M69" s="15"/>
      <c r="N69" s="15"/>
      <c r="O69" s="15"/>
      <c r="P69" s="15"/>
      <c r="Q69" s="15"/>
      <c r="R69" s="15"/>
      <c r="S69" s="15"/>
      <c r="T69" s="15"/>
      <c r="U69" s="15"/>
    </row>
    <row r="70" spans="1:21" s="42" customFormat="1">
      <c r="A70" s="15"/>
      <c r="B70" s="15"/>
      <c r="C70" s="15"/>
      <c r="D70" s="15"/>
      <c r="E70" s="15"/>
      <c r="F70" s="15"/>
      <c r="G70" s="15"/>
      <c r="H70" s="15"/>
      <c r="I70" s="15"/>
      <c r="J70" s="15"/>
      <c r="K70" s="21"/>
      <c r="L70" s="14"/>
      <c r="M70" s="15"/>
      <c r="N70" s="15"/>
      <c r="O70" s="15"/>
      <c r="P70" s="15"/>
      <c r="Q70" s="15"/>
      <c r="R70" s="15"/>
      <c r="S70" s="15"/>
      <c r="T70" s="15"/>
      <c r="U70" s="15"/>
    </row>
    <row r="71" spans="1:21" s="42" customFormat="1">
      <c r="A71" s="15"/>
      <c r="B71" s="15"/>
      <c r="C71" s="15"/>
      <c r="D71" s="15"/>
      <c r="E71" s="15"/>
      <c r="F71" s="15"/>
      <c r="G71" s="15"/>
      <c r="H71" s="15"/>
      <c r="I71" s="15"/>
      <c r="J71" s="15"/>
      <c r="K71" s="70"/>
      <c r="L71" s="14"/>
      <c r="M71" s="15"/>
      <c r="N71" s="15"/>
      <c r="O71" s="15"/>
      <c r="P71" s="15"/>
      <c r="Q71" s="15"/>
      <c r="R71" s="15"/>
      <c r="S71" s="15"/>
      <c r="T71" s="15"/>
      <c r="U71" s="15"/>
    </row>
    <row r="72" spans="1:21" s="42" customFormat="1">
      <c r="A72" s="15"/>
      <c r="B72" s="15"/>
      <c r="C72" s="15"/>
      <c r="D72" s="4"/>
      <c r="E72" s="15"/>
      <c r="F72" s="4"/>
      <c r="G72" s="15"/>
      <c r="H72" s="4"/>
      <c r="I72" s="15"/>
      <c r="J72" s="4"/>
      <c r="K72" s="13"/>
      <c r="L72" s="14"/>
      <c r="M72" s="15"/>
      <c r="N72" s="15"/>
      <c r="O72" s="15"/>
      <c r="P72" s="15"/>
      <c r="Q72" s="15"/>
      <c r="R72" s="15"/>
      <c r="S72" s="15"/>
      <c r="T72" s="15"/>
      <c r="U72" s="15"/>
    </row>
    <row r="73" spans="1:21" s="42" customFormat="1">
      <c r="A73" s="15"/>
      <c r="B73" s="15"/>
      <c r="C73" s="15"/>
      <c r="D73" s="15"/>
      <c r="E73" s="15"/>
      <c r="F73" s="15"/>
      <c r="G73" s="15"/>
      <c r="H73" s="15"/>
      <c r="I73" s="15"/>
      <c r="J73" s="15"/>
      <c r="K73" s="13"/>
      <c r="L73" s="15"/>
      <c r="M73" s="15"/>
      <c r="N73" s="15"/>
      <c r="O73" s="15"/>
      <c r="P73" s="15"/>
      <c r="Q73" s="15"/>
      <c r="R73" s="15"/>
      <c r="S73" s="15"/>
      <c r="T73" s="15"/>
      <c r="U73" s="15"/>
    </row>
    <row r="74" spans="1:21" s="42" customFormat="1">
      <c r="A74" s="15"/>
      <c r="B74" s="15"/>
      <c r="C74" s="15"/>
      <c r="D74" s="15"/>
      <c r="E74" s="15"/>
      <c r="F74" s="15"/>
      <c r="G74" s="15"/>
      <c r="H74" s="15"/>
      <c r="I74" s="15"/>
      <c r="J74" s="15"/>
      <c r="K74" s="13"/>
      <c r="L74" s="15"/>
      <c r="M74" s="15"/>
      <c r="N74" s="15"/>
      <c r="O74" s="15"/>
      <c r="P74" s="15"/>
      <c r="Q74" s="15"/>
      <c r="R74" s="15"/>
      <c r="S74" s="15"/>
      <c r="T74" s="15"/>
      <c r="U74" s="15"/>
    </row>
    <row r="75" spans="1:21" s="42" customFormat="1">
      <c r="A75" s="15"/>
      <c r="B75" s="15"/>
      <c r="C75" s="15"/>
      <c r="D75" s="15"/>
      <c r="E75" s="15"/>
      <c r="F75" s="15"/>
      <c r="G75" s="15"/>
      <c r="H75" s="15"/>
      <c r="I75" s="15"/>
      <c r="J75" s="15"/>
      <c r="K75" s="13"/>
      <c r="L75" s="15"/>
      <c r="M75" s="15"/>
      <c r="N75" s="15"/>
      <c r="O75" s="15"/>
      <c r="P75" s="15"/>
      <c r="Q75" s="15"/>
      <c r="R75" s="15"/>
      <c r="S75" s="15"/>
      <c r="T75" s="15"/>
      <c r="U75" s="15"/>
    </row>
    <row r="76" spans="1:21" s="42" customFormat="1">
      <c r="A76" s="15"/>
      <c r="B76" s="15"/>
      <c r="C76" s="15"/>
      <c r="D76" s="15"/>
      <c r="E76" s="15"/>
      <c r="F76" s="15"/>
      <c r="G76" s="15"/>
      <c r="H76" s="15"/>
      <c r="I76" s="15"/>
      <c r="J76" s="15"/>
      <c r="K76" s="99"/>
      <c r="L76" s="15"/>
      <c r="M76" s="15"/>
      <c r="N76" s="15"/>
      <c r="O76" s="15"/>
      <c r="P76" s="15"/>
      <c r="Q76" s="15"/>
      <c r="R76" s="15"/>
      <c r="S76" s="15"/>
      <c r="T76" s="15"/>
      <c r="U76" s="15"/>
    </row>
    <row r="77" spans="1:21" s="42" customFormat="1">
      <c r="A77" s="15"/>
      <c r="B77" s="15"/>
      <c r="C77" s="15"/>
      <c r="D77" s="15"/>
      <c r="E77" s="15"/>
      <c r="F77" s="15"/>
      <c r="G77" s="15"/>
      <c r="H77" s="15"/>
      <c r="I77" s="15"/>
      <c r="J77" s="15"/>
      <c r="K77" s="45"/>
      <c r="L77" s="15"/>
      <c r="M77" s="15"/>
      <c r="N77" s="15"/>
      <c r="O77" s="15"/>
      <c r="P77" s="15"/>
      <c r="Q77" s="15"/>
      <c r="R77" s="15"/>
      <c r="S77" s="15"/>
      <c r="T77" s="15"/>
      <c r="U77" s="15"/>
    </row>
    <row r="78" spans="1:21" hidden="1">
      <c r="K78" s="13"/>
    </row>
    <row r="79" spans="1:21" hidden="1">
      <c r="K79" s="11"/>
    </row>
    <row r="80" spans="1:21" hidden="1">
      <c r="K80" s="11"/>
    </row>
    <row r="81" spans="1:21" hidden="1">
      <c r="K81" s="11"/>
    </row>
    <row r="82" spans="1:21" hidden="1">
      <c r="K82" s="11"/>
    </row>
    <row r="83" spans="1:21" s="36" customFormat="1" hidden="1">
      <c r="A83" s="15"/>
      <c r="B83" s="15"/>
      <c r="C83" s="15"/>
      <c r="D83" s="15"/>
      <c r="E83" s="15"/>
      <c r="F83" s="15"/>
      <c r="G83" s="15"/>
      <c r="H83" s="15"/>
      <c r="I83" s="15"/>
      <c r="J83" s="15"/>
      <c r="K83" s="11"/>
      <c r="L83" s="15"/>
      <c r="M83" s="15"/>
      <c r="N83" s="15"/>
      <c r="O83" s="15"/>
      <c r="P83" s="15"/>
      <c r="Q83" s="15"/>
      <c r="R83" s="15"/>
      <c r="S83" s="15"/>
      <c r="T83" s="15"/>
      <c r="U83" s="15"/>
    </row>
    <row r="84" spans="1:21" s="36" customFormat="1" hidden="1">
      <c r="A84" s="15"/>
      <c r="B84" s="15"/>
      <c r="C84" s="15"/>
      <c r="D84" s="15"/>
      <c r="E84" s="15"/>
      <c r="F84" s="15"/>
      <c r="G84" s="15"/>
      <c r="H84" s="15"/>
      <c r="I84" s="15"/>
      <c r="J84" s="15"/>
      <c r="K84" s="11"/>
      <c r="L84" s="15"/>
      <c r="M84" s="15"/>
      <c r="N84" s="15"/>
      <c r="O84" s="15"/>
      <c r="P84" s="15"/>
      <c r="Q84" s="15"/>
      <c r="R84" s="15"/>
      <c r="S84" s="15"/>
      <c r="T84" s="15"/>
      <c r="U84" s="15"/>
    </row>
    <row r="85" spans="1:21" s="26" customFormat="1">
      <c r="A85" s="15"/>
      <c r="B85" s="15"/>
      <c r="C85" s="15"/>
      <c r="D85" s="15"/>
      <c r="E85" s="15"/>
      <c r="F85" s="15"/>
      <c r="G85" s="15"/>
      <c r="H85" s="15"/>
      <c r="I85" s="15"/>
      <c r="J85" s="15"/>
      <c r="K85" s="37"/>
      <c r="L85" s="15"/>
      <c r="M85" s="15"/>
      <c r="N85" s="15"/>
      <c r="O85" s="15"/>
      <c r="P85" s="15"/>
      <c r="Q85" s="15"/>
      <c r="R85" s="15"/>
      <c r="S85" s="15"/>
      <c r="T85" s="15"/>
      <c r="U85" s="15"/>
    </row>
    <row r="89" spans="1:21" hidden="1"/>
    <row r="90" spans="1:21" hidden="1"/>
    <row r="91" spans="1:21" hidden="1">
      <c r="K91" s="4"/>
    </row>
    <row r="92" spans="1:21" hidden="1"/>
    <row r="93" spans="1:21" hidden="1"/>
    <row r="94" spans="1:21" hidden="1"/>
    <row r="95" spans="1:21" hidden="1"/>
    <row r="96" spans="1:21" hidden="1"/>
    <row r="97" hidden="1"/>
    <row r="98" hidden="1"/>
    <row r="99" hidden="1"/>
    <row r="100" hidden="1"/>
    <row r="101" hidden="1"/>
    <row r="102" hidden="1"/>
    <row r="103" hidden="1"/>
  </sheetData>
  <mergeCells count="8">
    <mergeCell ref="L1:U1"/>
    <mergeCell ref="A1:J1"/>
    <mergeCell ref="A66:J66"/>
    <mergeCell ref="A67:J67"/>
    <mergeCell ref="A68:J68"/>
    <mergeCell ref="L55:U55"/>
    <mergeCell ref="L56:U56"/>
    <mergeCell ref="L57:U57"/>
  </mergeCells>
  <pageMargins left="0.7" right="0.7" top="0.75" bottom="0.75" header="0.3" footer="0.3"/>
  <pageSetup scale="56" orientation="portrait"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dimension ref="A1:H51"/>
  <sheetViews>
    <sheetView view="pageBreakPreview" zoomScaleSheetLayoutView="100" workbookViewId="0">
      <selection activeCell="B37" sqref="B37:E37"/>
    </sheetView>
  </sheetViews>
  <sheetFormatPr defaultRowHeight="15"/>
  <cols>
    <col min="1" max="1" width="24.28515625" style="42" customWidth="1"/>
    <col min="2" max="5" width="16.5703125" style="42" customWidth="1"/>
    <col min="6" max="7" width="9.140625" style="42"/>
    <col min="8" max="8" width="0" style="42" hidden="1" customWidth="1"/>
    <col min="9" max="16384" width="9.140625" style="42"/>
  </cols>
  <sheetData>
    <row r="1" spans="1:8" ht="30.75" customHeight="1">
      <c r="A1" s="181" t="s">
        <v>227</v>
      </c>
      <c r="B1" s="181"/>
      <c r="C1" s="181"/>
      <c r="D1" s="181"/>
      <c r="E1" s="181"/>
    </row>
    <row r="3" spans="1:8">
      <c r="A3" s="181" t="s">
        <v>128</v>
      </c>
      <c r="B3" s="181"/>
      <c r="C3" s="181"/>
      <c r="D3" s="181"/>
      <c r="E3" s="181"/>
    </row>
    <row r="4" spans="1:8">
      <c r="B4" s="186" t="s">
        <v>13</v>
      </c>
      <c r="C4" s="187"/>
      <c r="D4" s="186" t="s">
        <v>14</v>
      </c>
      <c r="E4" s="187"/>
    </row>
    <row r="5" spans="1:8">
      <c r="B5" s="173" t="s">
        <v>224</v>
      </c>
      <c r="C5" s="173" t="s">
        <v>15</v>
      </c>
      <c r="D5" s="66" t="s">
        <v>224</v>
      </c>
      <c r="E5" s="173" t="s">
        <v>15</v>
      </c>
    </row>
    <row r="6" spans="1:8">
      <c r="A6" s="66" t="s">
        <v>0</v>
      </c>
      <c r="B6" s="144">
        <f>'10'!C53</f>
        <v>56702.37848006939</v>
      </c>
      <c r="C6" s="83">
        <f>'9'!C53</f>
        <v>62589.635837232316</v>
      </c>
      <c r="D6" s="144">
        <f>'10'!N41</f>
        <v>55530.769900153209</v>
      </c>
      <c r="E6" s="83">
        <f>'9'!N41</f>
        <v>59983.693344649539</v>
      </c>
      <c r="G6" s="4"/>
      <c r="H6" s="4">
        <f>B6-B12</f>
        <v>9320.2946530008921</v>
      </c>
    </row>
    <row r="7" spans="1:8">
      <c r="A7" s="67" t="s">
        <v>2</v>
      </c>
      <c r="B7" s="145">
        <f>'10'!D53</f>
        <v>56834.618062766473</v>
      </c>
      <c r="C7" s="3">
        <f>'9'!D53</f>
        <v>62735.313160434402</v>
      </c>
      <c r="D7" s="145">
        <f>'10'!O41</f>
        <v>54428.796080960674</v>
      </c>
      <c r="E7" s="3">
        <f>'9'!O41</f>
        <v>59983.693344649539</v>
      </c>
      <c r="H7" s="4">
        <f>B7-B13</f>
        <v>9321.2108625807814</v>
      </c>
    </row>
    <row r="8" spans="1:8">
      <c r="A8" s="67" t="s">
        <v>143</v>
      </c>
      <c r="B8" s="145">
        <f>B6-B7</f>
        <v>-132.23958269708237</v>
      </c>
      <c r="C8" s="3">
        <f>C6-C7</f>
        <v>-145.67732320208597</v>
      </c>
      <c r="D8" s="145">
        <f>D6-D7</f>
        <v>1101.9738191925353</v>
      </c>
      <c r="E8" s="3">
        <f>E6-E7</f>
        <v>0</v>
      </c>
    </row>
    <row r="9" spans="1:8">
      <c r="A9" s="67" t="s">
        <v>6</v>
      </c>
      <c r="B9" s="145">
        <f>'10'!E53</f>
        <v>57464.359447342387</v>
      </c>
      <c r="C9" s="3">
        <f>'9'!E53</f>
        <v>63387.959784507511</v>
      </c>
      <c r="D9" s="145">
        <f>'10'!P41</f>
        <v>54816.447118219825</v>
      </c>
      <c r="E9" s="3">
        <f>'9'!P41</f>
        <v>59212.090163608998</v>
      </c>
    </row>
    <row r="10" spans="1:8">
      <c r="A10" s="67" t="s">
        <v>3</v>
      </c>
      <c r="B10" s="145">
        <f>'10'!F53</f>
        <v>57596.599030039462</v>
      </c>
      <c r="C10" s="3">
        <f>'9'!F53</f>
        <v>63533.637107709597</v>
      </c>
      <c r="D10" s="145">
        <f>'10'!Q41</f>
        <v>53728.648593293146</v>
      </c>
      <c r="E10" s="3">
        <f>'9'!Q41</f>
        <v>59212.090163608998</v>
      </c>
    </row>
    <row r="11" spans="1:8">
      <c r="A11" s="67" t="s">
        <v>143</v>
      </c>
      <c r="B11" s="145">
        <f>B9-B10</f>
        <v>-132.23958269707509</v>
      </c>
      <c r="C11" s="3">
        <f>C9-C10</f>
        <v>-145.67732320208597</v>
      </c>
      <c r="D11" s="145">
        <f>D9-D10</f>
        <v>1087.7985249266785</v>
      </c>
      <c r="E11" s="3">
        <f>E9-E10</f>
        <v>0</v>
      </c>
    </row>
    <row r="12" spans="1:8">
      <c r="A12" s="67" t="s">
        <v>4</v>
      </c>
      <c r="B12" s="145">
        <f>'10'!G53</f>
        <v>47382.083827068498</v>
      </c>
      <c r="C12" s="3">
        <f>'9'!G53</f>
        <v>52591.04069192148</v>
      </c>
      <c r="D12" s="145">
        <f>'10'!R41</f>
        <v>-8677072.8079933338</v>
      </c>
      <c r="E12" s="3">
        <f>'9'!R41</f>
        <v>-9866652.7114029676</v>
      </c>
    </row>
    <row r="13" spans="1:8">
      <c r="A13" s="67" t="s">
        <v>5</v>
      </c>
      <c r="B13" s="145">
        <f>'10'!H53</f>
        <v>47513.407200185691</v>
      </c>
      <c r="C13" s="3">
        <f>'9'!H53</f>
        <v>52737.023418316858</v>
      </c>
      <c r="D13" s="145">
        <f>'10'!S41</f>
        <v>45421.433604304482</v>
      </c>
      <c r="E13" s="3">
        <f>'9'!S41</f>
        <v>50057.056939901937</v>
      </c>
    </row>
    <row r="14" spans="1:8">
      <c r="A14" s="67" t="s">
        <v>143</v>
      </c>
      <c r="B14" s="145">
        <f>B12-B13</f>
        <v>-131.32337311719311</v>
      </c>
      <c r="C14" s="3">
        <f>C12-C13</f>
        <v>-145.98272639537754</v>
      </c>
      <c r="D14" s="145">
        <f>D12-D13</f>
        <v>-8722494.2415976375</v>
      </c>
      <c r="E14" s="3">
        <f>E12-E13</f>
        <v>-9916709.7683428694</v>
      </c>
    </row>
    <row r="15" spans="1:8">
      <c r="A15" s="67" t="s">
        <v>1</v>
      </c>
      <c r="B15" s="145">
        <f>'10'!I53</f>
        <v>48143.453987954897</v>
      </c>
      <c r="C15" s="3">
        <f>'9'!I53</f>
        <v>53389.364639196661</v>
      </c>
      <c r="D15" s="145">
        <f>'10'!T41</f>
        <v>-8677787.1307752654</v>
      </c>
      <c r="E15" s="3">
        <f>'9'!T41</f>
        <v>-9867424.3145840093</v>
      </c>
    </row>
    <row r="16" spans="1:8">
      <c r="A16" s="67" t="s">
        <v>7</v>
      </c>
      <c r="B16" s="145">
        <f>'10'!J53</f>
        <v>49121.221686828161</v>
      </c>
      <c r="C16" s="3">
        <f>'9'!J53</f>
        <v>56654.12477552866</v>
      </c>
      <c r="D16" s="145">
        <f>'10'!U41</f>
        <v>44721.28611663694</v>
      </c>
      <c r="E16" s="3">
        <f>'9'!U41</f>
        <v>49285.453758861382</v>
      </c>
    </row>
    <row r="17" spans="1:8">
      <c r="A17" s="68" t="s">
        <v>143</v>
      </c>
      <c r="B17" s="146">
        <f>B15-B16</f>
        <v>-977.76769887326373</v>
      </c>
      <c r="C17" s="84">
        <f>C15-C16</f>
        <v>-3264.7601363319991</v>
      </c>
      <c r="D17" s="146">
        <f>D15-D16</f>
        <v>-8722508.4168919027</v>
      </c>
      <c r="E17" s="84">
        <f>E15-E16</f>
        <v>-9916709.7683428712</v>
      </c>
    </row>
    <row r="18" spans="1:8">
      <c r="A18" s="9"/>
      <c r="B18" s="41"/>
      <c r="C18" s="41"/>
      <c r="D18" s="41"/>
      <c r="E18" s="41"/>
    </row>
    <row r="19" spans="1:8">
      <c r="A19" s="181" t="s">
        <v>129</v>
      </c>
      <c r="B19" s="181"/>
      <c r="C19" s="181"/>
      <c r="D19" s="181"/>
      <c r="E19" s="181"/>
    </row>
    <row r="20" spans="1:8">
      <c r="B20" s="193" t="s">
        <v>13</v>
      </c>
      <c r="C20" s="193"/>
      <c r="D20" s="193" t="s">
        <v>14</v>
      </c>
      <c r="E20" s="193"/>
    </row>
    <row r="21" spans="1:8">
      <c r="B21" s="173" t="s">
        <v>224</v>
      </c>
      <c r="C21" s="173" t="s">
        <v>15</v>
      </c>
      <c r="D21" s="66" t="s">
        <v>224</v>
      </c>
      <c r="E21" s="173" t="s">
        <v>15</v>
      </c>
    </row>
    <row r="22" spans="1:8">
      <c r="A22" s="66" t="str">
        <f>A9</f>
        <v>Gross national product</v>
      </c>
      <c r="B22" s="144">
        <f>B9</f>
        <v>57464.359447342387</v>
      </c>
      <c r="C22" s="83">
        <f>C9</f>
        <v>63387.959784507511</v>
      </c>
      <c r="D22" s="144">
        <f>D9</f>
        <v>54816.447118219825</v>
      </c>
      <c r="E22" s="83">
        <f>E9</f>
        <v>59212.090163608998</v>
      </c>
    </row>
    <row r="23" spans="1:8">
      <c r="A23" s="67" t="str">
        <f>A6</f>
        <v>Gross domestic product</v>
      </c>
      <c r="B23" s="145">
        <f>B6</f>
        <v>56702.37848006939</v>
      </c>
      <c r="C23" s="3">
        <f>C6</f>
        <v>62589.635837232316</v>
      </c>
      <c r="D23" s="145">
        <f>D6</f>
        <v>55530.769900153209</v>
      </c>
      <c r="E23" s="3">
        <f>E6</f>
        <v>59983.693344649539</v>
      </c>
    </row>
    <row r="24" spans="1:8">
      <c r="A24" s="67" t="s">
        <v>143</v>
      </c>
      <c r="B24" s="145">
        <f>B22-B23</f>
        <v>761.98096727299708</v>
      </c>
      <c r="C24" s="3">
        <f>C22-C23</f>
        <v>798.32394727519568</v>
      </c>
      <c r="D24" s="145">
        <f>D22-D23</f>
        <v>-714.32278193338425</v>
      </c>
      <c r="E24" s="3">
        <f>E22-E23</f>
        <v>-771.60318104054022</v>
      </c>
      <c r="G24" s="4"/>
      <c r="H24" s="4"/>
    </row>
    <row r="25" spans="1:8">
      <c r="A25" s="67" t="str">
        <f>A10</f>
        <v>Gross national income</v>
      </c>
      <c r="B25" s="145">
        <f>B10</f>
        <v>57596.599030039462</v>
      </c>
      <c r="C25" s="3">
        <f>C10</f>
        <v>63533.637107709597</v>
      </c>
      <c r="D25" s="145">
        <f>D10</f>
        <v>53728.648593293146</v>
      </c>
      <c r="E25" s="3">
        <f>E10</f>
        <v>59212.090163608998</v>
      </c>
    </row>
    <row r="26" spans="1:8">
      <c r="A26" s="67" t="str">
        <f>A7</f>
        <v>Gross domestic income</v>
      </c>
      <c r="B26" s="145">
        <f>B7</f>
        <v>56834.618062766473</v>
      </c>
      <c r="C26" s="3">
        <f>C7</f>
        <v>62735.313160434402</v>
      </c>
      <c r="D26" s="145">
        <f>D7</f>
        <v>54428.796080960674</v>
      </c>
      <c r="E26" s="3">
        <f>E7</f>
        <v>59983.693344649539</v>
      </c>
    </row>
    <row r="27" spans="1:8">
      <c r="A27" s="67" t="s">
        <v>143</v>
      </c>
      <c r="B27" s="145">
        <f>B25-B26</f>
        <v>761.9809672729898</v>
      </c>
      <c r="C27" s="3">
        <f>C25-C26</f>
        <v>798.32394727519568</v>
      </c>
      <c r="D27" s="145">
        <f>D25-D26</f>
        <v>-700.14748766752746</v>
      </c>
      <c r="E27" s="3">
        <f>E25-E26</f>
        <v>-771.60318104054022</v>
      </c>
    </row>
    <row r="28" spans="1:8">
      <c r="A28" s="67" t="str">
        <f>A15</f>
        <v>Net national product</v>
      </c>
      <c r="B28" s="145">
        <f>B15</f>
        <v>48143.453987954897</v>
      </c>
      <c r="C28" s="3">
        <f>C15</f>
        <v>53389.364639196661</v>
      </c>
      <c r="D28" s="145">
        <f>D15</f>
        <v>-8677787.1307752654</v>
      </c>
      <c r="E28" s="3">
        <f>E15</f>
        <v>-9867424.3145840093</v>
      </c>
    </row>
    <row r="29" spans="1:8">
      <c r="A29" s="67" t="str">
        <f>A12</f>
        <v>Net domestic product</v>
      </c>
      <c r="B29" s="145">
        <f>B12</f>
        <v>47382.083827068498</v>
      </c>
      <c r="C29" s="3">
        <f>C12</f>
        <v>52591.04069192148</v>
      </c>
      <c r="D29" s="145">
        <f>D12</f>
        <v>-8677072.8079933338</v>
      </c>
      <c r="E29" s="3">
        <f>E12</f>
        <v>-9866652.7114029676</v>
      </c>
    </row>
    <row r="30" spans="1:8">
      <c r="A30" s="67" t="s">
        <v>143</v>
      </c>
      <c r="B30" s="145">
        <f>B28-B29</f>
        <v>761.37016088639939</v>
      </c>
      <c r="C30" s="3">
        <f>C28-C29</f>
        <v>798.32394727518113</v>
      </c>
      <c r="D30" s="145">
        <f>D28-D29</f>
        <v>-714.32278193160892</v>
      </c>
      <c r="E30" s="3">
        <f>E28-E29</f>
        <v>-771.60318104177713</v>
      </c>
    </row>
    <row r="31" spans="1:8">
      <c r="A31" s="67" t="str">
        <f>A16</f>
        <v>Net national income</v>
      </c>
      <c r="B31" s="145">
        <f>B16</f>
        <v>49121.221686828161</v>
      </c>
      <c r="C31" s="3">
        <f>C16</f>
        <v>56654.12477552866</v>
      </c>
      <c r="D31" s="145">
        <f>D16</f>
        <v>44721.28611663694</v>
      </c>
      <c r="E31" s="3">
        <f>E16</f>
        <v>49285.453758861382</v>
      </c>
    </row>
    <row r="32" spans="1:8">
      <c r="A32" s="67" t="str">
        <f>A13</f>
        <v>Net domestic income</v>
      </c>
      <c r="B32" s="145">
        <f>B13</f>
        <v>47513.407200185691</v>
      </c>
      <c r="C32" s="3">
        <f>C13</f>
        <v>52737.023418316858</v>
      </c>
      <c r="D32" s="145">
        <f>D13</f>
        <v>45421.433604304482</v>
      </c>
      <c r="E32" s="3">
        <f>E13</f>
        <v>50057.056939901937</v>
      </c>
    </row>
    <row r="33" spans="1:5">
      <c r="A33" s="68" t="s">
        <v>143</v>
      </c>
      <c r="B33" s="146">
        <f>B31-B32</f>
        <v>1607.81448664247</v>
      </c>
      <c r="C33" s="84">
        <f>C31-C32</f>
        <v>3917.1013572118027</v>
      </c>
      <c r="D33" s="146">
        <f>D31-D32</f>
        <v>-700.14748766754201</v>
      </c>
      <c r="E33" s="84">
        <f>E31-E32</f>
        <v>-771.60318104055477</v>
      </c>
    </row>
    <row r="35" spans="1:5">
      <c r="A35" s="181" t="s">
        <v>130</v>
      </c>
      <c r="B35" s="181"/>
      <c r="C35" s="181"/>
      <c r="D35" s="181"/>
      <c r="E35" s="181"/>
    </row>
    <row r="36" spans="1:5">
      <c r="B36" s="193" t="s">
        <v>13</v>
      </c>
      <c r="C36" s="193"/>
      <c r="D36" s="193" t="s">
        <v>14</v>
      </c>
      <c r="E36" s="193"/>
    </row>
    <row r="37" spans="1:5">
      <c r="B37" s="173" t="s">
        <v>224</v>
      </c>
      <c r="C37" s="173" t="s">
        <v>15</v>
      </c>
      <c r="D37" s="66" t="s">
        <v>224</v>
      </c>
      <c r="E37" s="173" t="s">
        <v>15</v>
      </c>
    </row>
    <row r="38" spans="1:5">
      <c r="A38" s="66" t="str">
        <f>A6</f>
        <v>Gross domestic product</v>
      </c>
      <c r="B38" s="144">
        <f>B6</f>
        <v>56702.37848006939</v>
      </c>
      <c r="C38" s="83">
        <f>C6</f>
        <v>62589.635837232316</v>
      </c>
      <c r="D38" s="144">
        <f>D6</f>
        <v>55530.769900153209</v>
      </c>
      <c r="E38" s="83">
        <f>E6</f>
        <v>59983.693344649539</v>
      </c>
    </row>
    <row r="39" spans="1:5">
      <c r="A39" s="67" t="str">
        <f>A12</f>
        <v>Net domestic product</v>
      </c>
      <c r="B39" s="145">
        <f>B12</f>
        <v>47382.083827068498</v>
      </c>
      <c r="C39" s="3">
        <f>C12</f>
        <v>52591.04069192148</v>
      </c>
      <c r="D39" s="145">
        <f>D12</f>
        <v>-8677072.8079933338</v>
      </c>
      <c r="E39" s="3">
        <f>E12</f>
        <v>-9866652.7114029676</v>
      </c>
    </row>
    <row r="40" spans="1:5">
      <c r="A40" s="67" t="s">
        <v>143</v>
      </c>
      <c r="B40" s="145">
        <f>B38-B39</f>
        <v>9320.2946530008921</v>
      </c>
      <c r="C40" s="3">
        <f>C38-C39</f>
        <v>9998.5951453108355</v>
      </c>
      <c r="D40" s="145">
        <f>D38-D39</f>
        <v>8732603.5778934862</v>
      </c>
      <c r="E40" s="3">
        <f>E38-E39</f>
        <v>9926636.4047476165</v>
      </c>
    </row>
    <row r="41" spans="1:5">
      <c r="A41" s="67" t="str">
        <f>A7</f>
        <v>Gross domestic income</v>
      </c>
      <c r="B41" s="145">
        <f>B7</f>
        <v>56834.618062766473</v>
      </c>
      <c r="C41" s="3">
        <f>C7</f>
        <v>62735.313160434402</v>
      </c>
      <c r="D41" s="145">
        <f>D7</f>
        <v>54428.796080960674</v>
      </c>
      <c r="E41" s="3">
        <f>E7</f>
        <v>59983.693344649539</v>
      </c>
    </row>
    <row r="42" spans="1:5">
      <c r="A42" s="67" t="str">
        <f>A13</f>
        <v>Net domestic income</v>
      </c>
      <c r="B42" s="145">
        <f>B13</f>
        <v>47513.407200185691</v>
      </c>
      <c r="C42" s="3">
        <f>C13</f>
        <v>52737.023418316858</v>
      </c>
      <c r="D42" s="145">
        <f>D13</f>
        <v>45421.433604304482</v>
      </c>
      <c r="E42" s="3">
        <f>E13</f>
        <v>50057.056939901937</v>
      </c>
    </row>
    <row r="43" spans="1:5">
      <c r="A43" s="67" t="s">
        <v>143</v>
      </c>
      <c r="B43" s="145">
        <f>B41-B42</f>
        <v>9321.2108625807814</v>
      </c>
      <c r="C43" s="3">
        <f>C41-C42</f>
        <v>9998.2897421175439</v>
      </c>
      <c r="D43" s="145">
        <f>D41-D42</f>
        <v>9007.3624766561916</v>
      </c>
      <c r="E43" s="3">
        <f>E41-E42</f>
        <v>9926.6364047476018</v>
      </c>
    </row>
    <row r="44" spans="1:5">
      <c r="A44" s="67" t="str">
        <f>A9</f>
        <v>Gross national product</v>
      </c>
      <c r="B44" s="145">
        <f>B9</f>
        <v>57464.359447342387</v>
      </c>
      <c r="C44" s="3">
        <f>C9</f>
        <v>63387.959784507511</v>
      </c>
      <c r="D44" s="145">
        <f>D9</f>
        <v>54816.447118219825</v>
      </c>
      <c r="E44" s="3">
        <f>E9</f>
        <v>59212.090163608998</v>
      </c>
    </row>
    <row r="45" spans="1:5">
      <c r="A45" s="67" t="str">
        <f>A15</f>
        <v>Net national product</v>
      </c>
      <c r="B45" s="145">
        <f>B15</f>
        <v>48143.453987954897</v>
      </c>
      <c r="C45" s="3">
        <f>C15</f>
        <v>53389.364639196661</v>
      </c>
      <c r="D45" s="145">
        <f>D15</f>
        <v>-8677787.1307752654</v>
      </c>
      <c r="E45" s="3">
        <f>E15</f>
        <v>-9867424.3145840093</v>
      </c>
    </row>
    <row r="46" spans="1:5">
      <c r="A46" s="67" t="s">
        <v>143</v>
      </c>
      <c r="B46" s="145">
        <f>B44-B45</f>
        <v>9320.9054593874898</v>
      </c>
      <c r="C46" s="3">
        <f>C44-C45</f>
        <v>9998.5951453108501</v>
      </c>
      <c r="D46" s="145">
        <f>D44-D45</f>
        <v>8732603.5778934844</v>
      </c>
      <c r="E46" s="3">
        <f>E44-E45</f>
        <v>9926636.4047476184</v>
      </c>
    </row>
    <row r="47" spans="1:5">
      <c r="A47" s="67" t="str">
        <f>A10</f>
        <v>Gross national income</v>
      </c>
      <c r="B47" s="145">
        <f>B10</f>
        <v>57596.599030039462</v>
      </c>
      <c r="C47" s="3">
        <f>C10</f>
        <v>63533.637107709597</v>
      </c>
      <c r="D47" s="145">
        <f>D10</f>
        <v>53728.648593293146</v>
      </c>
      <c r="E47" s="3">
        <f>E10</f>
        <v>59212.090163608998</v>
      </c>
    </row>
    <row r="48" spans="1:5">
      <c r="A48" s="67" t="str">
        <f>A16</f>
        <v>Net national income</v>
      </c>
      <c r="B48" s="145">
        <f>B16</f>
        <v>49121.221686828161</v>
      </c>
      <c r="C48" s="3">
        <f>C16</f>
        <v>56654.12477552866</v>
      </c>
      <c r="D48" s="145">
        <f>D16</f>
        <v>44721.28611663694</v>
      </c>
      <c r="E48" s="3">
        <f>E16</f>
        <v>49285.453758861382</v>
      </c>
    </row>
    <row r="49" spans="1:5">
      <c r="A49" s="68" t="s">
        <v>143</v>
      </c>
      <c r="B49" s="146">
        <f>B47-B48</f>
        <v>8475.3773432113012</v>
      </c>
      <c r="C49" s="84">
        <f>C47-C48</f>
        <v>6879.5123321809369</v>
      </c>
      <c r="D49" s="146">
        <f>D47-D48</f>
        <v>9007.3624766562061</v>
      </c>
      <c r="E49" s="84">
        <f>E47-E48</f>
        <v>9926.6364047476163</v>
      </c>
    </row>
    <row r="51" spans="1:5">
      <c r="A51" s="174" t="s">
        <v>164</v>
      </c>
      <c r="B51" s="174"/>
      <c r="C51" s="174"/>
      <c r="D51" s="174"/>
      <c r="E51" s="174"/>
    </row>
  </sheetData>
  <mergeCells count="11">
    <mergeCell ref="A1:E1"/>
    <mergeCell ref="B4:C4"/>
    <mergeCell ref="D4:E4"/>
    <mergeCell ref="B20:C20"/>
    <mergeCell ref="D20:E20"/>
    <mergeCell ref="A51:E51"/>
    <mergeCell ref="A19:E19"/>
    <mergeCell ref="A35:E35"/>
    <mergeCell ref="A3:E3"/>
    <mergeCell ref="B36:C36"/>
    <mergeCell ref="D36:E36"/>
  </mergeCells>
  <pageMargins left="0.7" right="0.7" top="0.75" bottom="0.75" header="0.3" footer="0.3"/>
  <pageSetup scale="90" orientation="portrait" r:id="rId1"/>
</worksheet>
</file>

<file path=xl/worksheets/sheet14.xml><?xml version="1.0" encoding="utf-8"?>
<worksheet xmlns="http://schemas.openxmlformats.org/spreadsheetml/2006/main" xmlns:r="http://schemas.openxmlformats.org/officeDocument/2006/relationships">
  <dimension ref="A1:H51"/>
  <sheetViews>
    <sheetView view="pageBreakPreview" zoomScaleSheetLayoutView="100" workbookViewId="0">
      <selection activeCell="B37" sqref="B37:E37"/>
    </sheetView>
  </sheetViews>
  <sheetFormatPr defaultRowHeight="15"/>
  <cols>
    <col min="1" max="1" width="24.28515625" style="42" customWidth="1"/>
    <col min="2" max="5" width="15.42578125" style="42" customWidth="1"/>
    <col min="6" max="16384" width="9.140625" style="42"/>
  </cols>
  <sheetData>
    <row r="1" spans="1:7" ht="30" customHeight="1">
      <c r="A1" s="181" t="s">
        <v>228</v>
      </c>
      <c r="B1" s="181"/>
      <c r="C1" s="181"/>
      <c r="D1" s="181"/>
      <c r="E1" s="181"/>
    </row>
    <row r="3" spans="1:7" ht="29.25" customHeight="1">
      <c r="A3" s="181" t="s">
        <v>131</v>
      </c>
      <c r="B3" s="181"/>
      <c r="C3" s="181"/>
      <c r="D3" s="181"/>
      <c r="E3" s="181"/>
    </row>
    <row r="4" spans="1:7">
      <c r="B4" s="186" t="s">
        <v>13</v>
      </c>
      <c r="C4" s="187"/>
      <c r="D4" s="186" t="s">
        <v>14</v>
      </c>
      <c r="E4" s="187"/>
    </row>
    <row r="5" spans="1:7">
      <c r="B5" s="173" t="s">
        <v>224</v>
      </c>
      <c r="C5" s="173" t="s">
        <v>15</v>
      </c>
      <c r="D5" s="66" t="s">
        <v>224</v>
      </c>
      <c r="E5" s="173" t="s">
        <v>15</v>
      </c>
    </row>
    <row r="6" spans="1:7">
      <c r="A6" s="66" t="s">
        <v>0</v>
      </c>
      <c r="B6" s="156">
        <f>'10'!C63</f>
        <v>1.108332866363293</v>
      </c>
      <c r="C6" s="91">
        <f>'9'!C63</f>
        <v>3.0721328919800062</v>
      </c>
      <c r="D6" s="156">
        <f>'10'!N50</f>
        <v>0.90342332408874793</v>
      </c>
      <c r="E6" s="91">
        <f>'9'!N50</f>
        <v>2.8627788656971243</v>
      </c>
      <c r="G6" s="4"/>
    </row>
    <row r="7" spans="1:7">
      <c r="A7" s="67" t="s">
        <v>2</v>
      </c>
      <c r="B7" s="157">
        <f>'10'!D63</f>
        <v>1.0687995970661168</v>
      </c>
      <c r="C7" s="94">
        <f>'9'!D63</f>
        <v>3.0318069070757181</v>
      </c>
      <c r="D7" s="157">
        <f>'10'!O50</f>
        <v>1.0099528006365155</v>
      </c>
      <c r="E7" s="94">
        <f>'9'!O50</f>
        <v>2.8627788656971243</v>
      </c>
    </row>
    <row r="8" spans="1:7">
      <c r="A8" s="67" t="s">
        <v>143</v>
      </c>
      <c r="B8" s="157">
        <f>B6-B7</f>
        <v>3.9533269297176155E-2</v>
      </c>
      <c r="C8" s="94">
        <f>C6-C7</f>
        <v>4.032598490428807E-2</v>
      </c>
      <c r="D8" s="157">
        <f>D6-D7</f>
        <v>-0.10652947654776757</v>
      </c>
      <c r="E8" s="94">
        <f>E6-E7</f>
        <v>0</v>
      </c>
    </row>
    <row r="9" spans="1:7">
      <c r="A9" s="67" t="s">
        <v>6</v>
      </c>
      <c r="B9" s="157">
        <f>'10'!E63</f>
        <v>1.1624070221777583</v>
      </c>
      <c r="C9" s="94">
        <f>'9'!E63</f>
        <v>3.125151122250247</v>
      </c>
      <c r="D9" s="157">
        <f>'10'!P50</f>
        <v>0.97992345593977959</v>
      </c>
      <c r="E9" s="94">
        <f>'9'!P50</f>
        <v>2.940764486863956</v>
      </c>
    </row>
    <row r="10" spans="1:7">
      <c r="A10" s="67" t="s">
        <v>3</v>
      </c>
      <c r="B10" s="157">
        <f>'10'!F63</f>
        <v>1.122874046061284</v>
      </c>
      <c r="C10" s="94">
        <f>'9'!E63</f>
        <v>3.125151122250247</v>
      </c>
      <c r="D10" s="157">
        <f>'10'!Q50</f>
        <v>1.0865336980228957</v>
      </c>
      <c r="E10" s="94">
        <f>'9'!Q50</f>
        <v>2.940764486863956</v>
      </c>
    </row>
    <row r="11" spans="1:7">
      <c r="A11" s="67" t="s">
        <v>143</v>
      </c>
      <c r="B11" s="157">
        <f>B9-B10</f>
        <v>3.9532976116474217E-2</v>
      </c>
      <c r="C11" s="94">
        <f>C9-C10</f>
        <v>0</v>
      </c>
      <c r="D11" s="157">
        <f>D9-D10</f>
        <v>-0.10661024208311609</v>
      </c>
      <c r="E11" s="94">
        <f>E9-E10</f>
        <v>0</v>
      </c>
    </row>
    <row r="12" spans="1:7">
      <c r="A12" s="67" t="s">
        <v>4</v>
      </c>
      <c r="B12" s="157">
        <f>'10'!G63</f>
        <v>0.90550006547911455</v>
      </c>
      <c r="C12" s="94">
        <f>'9'!F63</f>
        <v>3.084819115781201</v>
      </c>
      <c r="D12" s="157">
        <f>'10'!R50</f>
        <v>1.2584594011437744</v>
      </c>
      <c r="E12" s="94">
        <f>'9'!R50</f>
        <v>3.4566789091672545</v>
      </c>
    </row>
    <row r="13" spans="1:7">
      <c r="A13" s="67" t="s">
        <v>5</v>
      </c>
      <c r="B13" s="157">
        <f>'10'!H63</f>
        <v>0.85947493113154305</v>
      </c>
      <c r="C13" s="94">
        <f>'9'!G63</f>
        <v>2.9886330919148385</v>
      </c>
      <c r="D13" s="157">
        <f>'10'!S50</f>
        <v>0.90216903358744105</v>
      </c>
      <c r="E13" s="94">
        <f>'9'!S50</f>
        <v>2.7530180204746291</v>
      </c>
    </row>
    <row r="14" spans="1:7">
      <c r="A14" s="67" t="s">
        <v>143</v>
      </c>
      <c r="B14" s="157">
        <f>B12-B13</f>
        <v>4.6025134347571495E-2</v>
      </c>
      <c r="C14" s="94">
        <f>C12-C13</f>
        <v>9.6186023866362547E-2</v>
      </c>
      <c r="D14" s="157">
        <f>D12-D13</f>
        <v>0.35629036755633336</v>
      </c>
      <c r="E14" s="94">
        <f>E12-E13</f>
        <v>0.70366088869262544</v>
      </c>
    </row>
    <row r="15" spans="1:7">
      <c r="A15" s="67" t="s">
        <v>1</v>
      </c>
      <c r="B15" s="157">
        <f>'10'!I63</f>
        <v>0.97128190307496087</v>
      </c>
      <c r="C15" s="94">
        <f>'9'!H63</f>
        <v>2.9416847422362835</v>
      </c>
      <c r="D15" s="157">
        <f>'10'!T50</f>
        <v>1.257916317774832</v>
      </c>
      <c r="E15" s="94">
        <f>'9'!T50</f>
        <v>3.4561115388850094</v>
      </c>
    </row>
    <row r="16" spans="1:7">
      <c r="A16" s="67" t="s">
        <v>7</v>
      </c>
      <c r="B16" s="157">
        <f>'10'!J63</f>
        <v>1.1365161279456526</v>
      </c>
      <c r="C16" s="94">
        <f>'9'!I63</f>
        <v>3.0519889107435638</v>
      </c>
      <c r="D16" s="157">
        <f>'10'!U50</f>
        <v>0.99074449307641199</v>
      </c>
      <c r="E16" s="94">
        <f>'9'!U50</f>
        <v>2.8432182200561984</v>
      </c>
    </row>
    <row r="17" spans="1:8">
      <c r="A17" s="68" t="s">
        <v>143</v>
      </c>
      <c r="B17" s="158">
        <f>B15-B16</f>
        <v>-0.16523422487069173</v>
      </c>
      <c r="C17" s="97">
        <f>C15-C16</f>
        <v>-0.11030416850728031</v>
      </c>
      <c r="D17" s="158">
        <f>D15-D16</f>
        <v>0.26717182469842005</v>
      </c>
      <c r="E17" s="97">
        <f>E15-E16</f>
        <v>0.61289331882881104</v>
      </c>
    </row>
    <row r="18" spans="1:8">
      <c r="A18" s="9"/>
      <c r="B18" s="41"/>
      <c r="C18" s="41"/>
      <c r="D18" s="41"/>
      <c r="E18" s="41"/>
    </row>
    <row r="19" spans="1:8" ht="30.75" customHeight="1">
      <c r="A19" s="181" t="s">
        <v>132</v>
      </c>
      <c r="B19" s="181"/>
      <c r="C19" s="181"/>
      <c r="D19" s="181"/>
      <c r="E19" s="181"/>
    </row>
    <row r="20" spans="1:8">
      <c r="B20" s="193" t="s">
        <v>13</v>
      </c>
      <c r="C20" s="193"/>
      <c r="D20" s="193" t="s">
        <v>14</v>
      </c>
      <c r="E20" s="193"/>
    </row>
    <row r="21" spans="1:8">
      <c r="B21" s="173" t="s">
        <v>224</v>
      </c>
      <c r="C21" s="173" t="s">
        <v>15</v>
      </c>
      <c r="D21" s="66" t="s">
        <v>224</v>
      </c>
      <c r="E21" s="173" t="s">
        <v>15</v>
      </c>
    </row>
    <row r="22" spans="1:8">
      <c r="A22" s="66" t="str">
        <f>A9</f>
        <v>Gross national product</v>
      </c>
      <c r="B22" s="156">
        <f>B9</f>
        <v>1.1624070221777583</v>
      </c>
      <c r="C22" s="91">
        <f>C9</f>
        <v>3.125151122250247</v>
      </c>
      <c r="D22" s="156">
        <f>D9</f>
        <v>0.97992345593977959</v>
      </c>
      <c r="E22" s="91">
        <f>E9</f>
        <v>2.940764486863956</v>
      </c>
    </row>
    <row r="23" spans="1:8">
      <c r="A23" s="67" t="str">
        <f>A6</f>
        <v>Gross domestic product</v>
      </c>
      <c r="B23" s="157">
        <f>B6</f>
        <v>1.108332866363293</v>
      </c>
      <c r="C23" s="94">
        <f>C6</f>
        <v>3.0721328919800062</v>
      </c>
      <c r="D23" s="157">
        <f>D6</f>
        <v>0.90342332408874793</v>
      </c>
      <c r="E23" s="94">
        <f>E6</f>
        <v>2.8627788656971243</v>
      </c>
    </row>
    <row r="24" spans="1:8">
      <c r="A24" s="67" t="s">
        <v>143</v>
      </c>
      <c r="B24" s="157">
        <f>B22-B23</f>
        <v>5.4074155814465286E-2</v>
      </c>
      <c r="C24" s="94">
        <f>C22-C23</f>
        <v>5.3018230270240885E-2</v>
      </c>
      <c r="D24" s="157">
        <f>D22-D23</f>
        <v>7.6500131851031661E-2</v>
      </c>
      <c r="E24" s="94">
        <f>E22-E23</f>
        <v>7.798562116683172E-2</v>
      </c>
      <c r="G24" s="4"/>
      <c r="H24" s="4"/>
    </row>
    <row r="25" spans="1:8">
      <c r="A25" s="67" t="str">
        <f>A10</f>
        <v>Gross national income</v>
      </c>
      <c r="B25" s="157">
        <f>B10</f>
        <v>1.122874046061284</v>
      </c>
      <c r="C25" s="94">
        <f>C10</f>
        <v>3.125151122250247</v>
      </c>
      <c r="D25" s="157">
        <f>D10</f>
        <v>1.0865336980228957</v>
      </c>
      <c r="E25" s="94">
        <f>E10</f>
        <v>2.940764486863956</v>
      </c>
    </row>
    <row r="26" spans="1:8">
      <c r="A26" s="67" t="str">
        <f>A7</f>
        <v>Gross domestic income</v>
      </c>
      <c r="B26" s="157">
        <f>B7</f>
        <v>1.0687995970661168</v>
      </c>
      <c r="C26" s="94">
        <f>C7</f>
        <v>3.0318069070757181</v>
      </c>
      <c r="D26" s="157">
        <f>D7</f>
        <v>1.0099528006365155</v>
      </c>
      <c r="E26" s="94">
        <f>E7</f>
        <v>2.8627788656971243</v>
      </c>
    </row>
    <row r="27" spans="1:8">
      <c r="A27" s="67" t="s">
        <v>143</v>
      </c>
      <c r="B27" s="157">
        <f>B25-B26</f>
        <v>5.4074448995167224E-2</v>
      </c>
      <c r="C27" s="94">
        <f>C25-C26</f>
        <v>9.3344215174528955E-2</v>
      </c>
      <c r="D27" s="157">
        <f>D25-D26</f>
        <v>7.6580897386380187E-2</v>
      </c>
      <c r="E27" s="94">
        <f>E25-E26</f>
        <v>7.798562116683172E-2</v>
      </c>
    </row>
    <row r="28" spans="1:8">
      <c r="A28" s="67" t="str">
        <f>A15</f>
        <v>Net national product</v>
      </c>
      <c r="B28" s="157">
        <f>B15</f>
        <v>0.97128190307496087</v>
      </c>
      <c r="C28" s="94">
        <f>C15</f>
        <v>2.9416847422362835</v>
      </c>
      <c r="D28" s="157">
        <f>D15</f>
        <v>1.257916317774832</v>
      </c>
      <c r="E28" s="94">
        <f>E15</f>
        <v>3.4561115388850094</v>
      </c>
    </row>
    <row r="29" spans="1:8">
      <c r="A29" s="67" t="str">
        <f>A12</f>
        <v>Net domestic product</v>
      </c>
      <c r="B29" s="157">
        <f>B12</f>
        <v>0.90550006547911455</v>
      </c>
      <c r="C29" s="94">
        <f>C12</f>
        <v>3.084819115781201</v>
      </c>
      <c r="D29" s="157">
        <f>D12</f>
        <v>1.2584594011437744</v>
      </c>
      <c r="E29" s="94">
        <f>E12</f>
        <v>3.4566789091672545</v>
      </c>
    </row>
    <row r="30" spans="1:8">
      <c r="A30" s="67" t="s">
        <v>143</v>
      </c>
      <c r="B30" s="157">
        <f>B28-B29</f>
        <v>6.5781837595846326E-2</v>
      </c>
      <c r="C30" s="94">
        <f>C28-C29</f>
        <v>-0.14313437354491754</v>
      </c>
      <c r="D30" s="157">
        <f>D28-D29</f>
        <v>-5.4308336894237641E-4</v>
      </c>
      <c r="E30" s="94">
        <f>E28-E29</f>
        <v>-5.6737028224507213E-4</v>
      </c>
    </row>
    <row r="31" spans="1:8">
      <c r="A31" s="67" t="str">
        <f>A16</f>
        <v>Net national income</v>
      </c>
      <c r="B31" s="157">
        <f>B16</f>
        <v>1.1365161279456526</v>
      </c>
      <c r="C31" s="94">
        <f>C16</f>
        <v>3.0519889107435638</v>
      </c>
      <c r="D31" s="157">
        <f>D16</f>
        <v>0.99074449307641199</v>
      </c>
      <c r="E31" s="94">
        <f>E16</f>
        <v>2.8432182200561984</v>
      </c>
    </row>
    <row r="32" spans="1:8">
      <c r="A32" s="67" t="str">
        <f>A13</f>
        <v>Net domestic income</v>
      </c>
      <c r="B32" s="157">
        <f>B13</f>
        <v>0.85947493113154305</v>
      </c>
      <c r="C32" s="94">
        <f>C13</f>
        <v>2.9886330919148385</v>
      </c>
      <c r="D32" s="157">
        <f>D13</f>
        <v>0.90216903358744105</v>
      </c>
      <c r="E32" s="94">
        <f>E13</f>
        <v>2.7530180204746291</v>
      </c>
    </row>
    <row r="33" spans="1:5">
      <c r="A33" s="68" t="s">
        <v>143</v>
      </c>
      <c r="B33" s="158">
        <f>B31-B32</f>
        <v>0.27704119681410955</v>
      </c>
      <c r="C33" s="97">
        <f>C31-C32</f>
        <v>6.3355818828725319E-2</v>
      </c>
      <c r="D33" s="158">
        <f>D31-D32</f>
        <v>8.8575459488970942E-2</v>
      </c>
      <c r="E33" s="97">
        <f>E31-E32</f>
        <v>9.0200199581569329E-2</v>
      </c>
    </row>
    <row r="35" spans="1:5" ht="29.25" customHeight="1">
      <c r="A35" s="181" t="s">
        <v>133</v>
      </c>
      <c r="B35" s="181"/>
      <c r="C35" s="181"/>
      <c r="D35" s="181"/>
      <c r="E35" s="181"/>
    </row>
    <row r="36" spans="1:5">
      <c r="B36" s="193" t="s">
        <v>13</v>
      </c>
      <c r="C36" s="193"/>
      <c r="D36" s="193" t="s">
        <v>14</v>
      </c>
      <c r="E36" s="193"/>
    </row>
    <row r="37" spans="1:5">
      <c r="B37" s="173" t="s">
        <v>224</v>
      </c>
      <c r="C37" s="173" t="s">
        <v>15</v>
      </c>
      <c r="D37" s="66" t="s">
        <v>224</v>
      </c>
      <c r="E37" s="173" t="s">
        <v>15</v>
      </c>
    </row>
    <row r="38" spans="1:5">
      <c r="A38" s="66" t="str">
        <f>A6</f>
        <v>Gross domestic product</v>
      </c>
      <c r="B38" s="156">
        <f>B6</f>
        <v>1.108332866363293</v>
      </c>
      <c r="C38" s="91">
        <f>C6</f>
        <v>3.0721328919800062</v>
      </c>
      <c r="D38" s="156">
        <f>D6</f>
        <v>0.90342332408874793</v>
      </c>
      <c r="E38" s="91">
        <f>E6</f>
        <v>2.8627788656971243</v>
      </c>
    </row>
    <row r="39" spans="1:5">
      <c r="A39" s="67" t="str">
        <f>A12</f>
        <v>Net domestic product</v>
      </c>
      <c r="B39" s="157">
        <f>B12</f>
        <v>0.90550006547911455</v>
      </c>
      <c r="C39" s="94">
        <f>C12</f>
        <v>3.084819115781201</v>
      </c>
      <c r="D39" s="157">
        <f>D12</f>
        <v>1.2584594011437744</v>
      </c>
      <c r="E39" s="94">
        <f>E12</f>
        <v>3.4566789091672545</v>
      </c>
    </row>
    <row r="40" spans="1:5">
      <c r="A40" s="67" t="s">
        <v>143</v>
      </c>
      <c r="B40" s="157">
        <f>B38-B39</f>
        <v>0.20283280088417843</v>
      </c>
      <c r="C40" s="94">
        <f>C38-C39</f>
        <v>-1.2686223801194885E-2</v>
      </c>
      <c r="D40" s="157">
        <f>D38-D39</f>
        <v>-0.35503607705502649</v>
      </c>
      <c r="E40" s="94">
        <f>E38-E39</f>
        <v>-0.59390004347013026</v>
      </c>
    </row>
    <row r="41" spans="1:5">
      <c r="A41" s="67" t="str">
        <f>A7</f>
        <v>Gross domestic income</v>
      </c>
      <c r="B41" s="157">
        <f>B7</f>
        <v>1.0687995970661168</v>
      </c>
      <c r="C41" s="94">
        <f>C7</f>
        <v>3.0318069070757181</v>
      </c>
      <c r="D41" s="157">
        <f>D7</f>
        <v>1.0099528006365155</v>
      </c>
      <c r="E41" s="94">
        <f>E7</f>
        <v>2.8627788656971243</v>
      </c>
    </row>
    <row r="42" spans="1:5">
      <c r="A42" s="67" t="str">
        <f>A13</f>
        <v>Net domestic income</v>
      </c>
      <c r="B42" s="157">
        <f>B13</f>
        <v>0.85947493113154305</v>
      </c>
      <c r="C42" s="94">
        <f>C13</f>
        <v>2.9886330919148385</v>
      </c>
      <c r="D42" s="157">
        <f>D13</f>
        <v>0.90216903358744105</v>
      </c>
      <c r="E42" s="94">
        <f>E13</f>
        <v>2.7530180204746291</v>
      </c>
    </row>
    <row r="43" spans="1:5">
      <c r="A43" s="67" t="s">
        <v>143</v>
      </c>
      <c r="B43" s="157">
        <f>B41-B42</f>
        <v>0.20932466593457377</v>
      </c>
      <c r="C43" s="94">
        <f>C41-C42</f>
        <v>4.3173815160879592E-2</v>
      </c>
      <c r="D43" s="157">
        <f>D41-D42</f>
        <v>0.10778376704907444</v>
      </c>
      <c r="E43" s="94">
        <f>E41-E42</f>
        <v>0.10976084522249518</v>
      </c>
    </row>
    <row r="44" spans="1:5">
      <c r="A44" s="67" t="str">
        <f>A9</f>
        <v>Gross national product</v>
      </c>
      <c r="B44" s="157">
        <f>B9</f>
        <v>1.1624070221777583</v>
      </c>
      <c r="C44" s="94">
        <f>C9</f>
        <v>3.125151122250247</v>
      </c>
      <c r="D44" s="157">
        <f>D9</f>
        <v>0.97992345593977959</v>
      </c>
      <c r="E44" s="94">
        <f>E9</f>
        <v>2.940764486863956</v>
      </c>
    </row>
    <row r="45" spans="1:5">
      <c r="A45" s="67" t="str">
        <f>A15</f>
        <v>Net national product</v>
      </c>
      <c r="B45" s="157">
        <f>B15</f>
        <v>0.97128190307496087</v>
      </c>
      <c r="C45" s="94">
        <f>C15</f>
        <v>2.9416847422362835</v>
      </c>
      <c r="D45" s="157">
        <f>D15</f>
        <v>1.257916317774832</v>
      </c>
      <c r="E45" s="94">
        <f>E15</f>
        <v>3.4561115388850094</v>
      </c>
    </row>
    <row r="46" spans="1:5">
      <c r="A46" s="67" t="s">
        <v>143</v>
      </c>
      <c r="B46" s="157">
        <f>B44-B45</f>
        <v>0.19112511910279739</v>
      </c>
      <c r="C46" s="94">
        <f>C44-C45</f>
        <v>0.18346638001396354</v>
      </c>
      <c r="D46" s="157">
        <f>D44-D45</f>
        <v>-0.27799286183505245</v>
      </c>
      <c r="E46" s="94">
        <f>E44-E45</f>
        <v>-0.51534705202105346</v>
      </c>
    </row>
    <row r="47" spans="1:5">
      <c r="A47" s="67" t="str">
        <f>A10</f>
        <v>Gross national income</v>
      </c>
      <c r="B47" s="157">
        <f>B10</f>
        <v>1.122874046061284</v>
      </c>
      <c r="C47" s="94">
        <f>C10</f>
        <v>3.125151122250247</v>
      </c>
      <c r="D47" s="157">
        <f>D10</f>
        <v>1.0865336980228957</v>
      </c>
      <c r="E47" s="94">
        <f>E10</f>
        <v>2.940764486863956</v>
      </c>
    </row>
    <row r="48" spans="1:5">
      <c r="A48" s="67" t="str">
        <f>A16</f>
        <v>Net national income</v>
      </c>
      <c r="B48" s="157">
        <f>B16</f>
        <v>1.1365161279456526</v>
      </c>
      <c r="C48" s="94">
        <f>C16</f>
        <v>3.0519889107435638</v>
      </c>
      <c r="D48" s="157">
        <f>D16</f>
        <v>0.99074449307641199</v>
      </c>
      <c r="E48" s="94">
        <f>E16</f>
        <v>2.8432182200561984</v>
      </c>
    </row>
    <row r="49" spans="1:5">
      <c r="A49" s="68" t="s">
        <v>143</v>
      </c>
      <c r="B49" s="158">
        <f>B47-B48</f>
        <v>-1.3642081884368551E-2</v>
      </c>
      <c r="C49" s="97">
        <f>C47-C48</f>
        <v>7.3162211506683228E-2</v>
      </c>
      <c r="D49" s="158">
        <f>D47-D48</f>
        <v>9.5789204946483686E-2</v>
      </c>
      <c r="E49" s="97">
        <f>E47-E48</f>
        <v>9.7546266807757576E-2</v>
      </c>
    </row>
    <row r="51" spans="1:5">
      <c r="A51" s="174" t="s">
        <v>164</v>
      </c>
      <c r="B51" s="174"/>
      <c r="C51" s="174"/>
      <c r="D51" s="174"/>
      <c r="E51" s="174"/>
    </row>
  </sheetData>
  <mergeCells count="11">
    <mergeCell ref="A51:E51"/>
    <mergeCell ref="A35:E35"/>
    <mergeCell ref="B36:C36"/>
    <mergeCell ref="D36:E36"/>
    <mergeCell ref="A1:E1"/>
    <mergeCell ref="A3:E3"/>
    <mergeCell ref="B4:C4"/>
    <mergeCell ref="D4:E4"/>
    <mergeCell ref="A19:E19"/>
    <mergeCell ref="B20:C20"/>
    <mergeCell ref="D20:E20"/>
  </mergeCells>
  <pageMargins left="0.7" right="0.7" top="0.75" bottom="0.75" header="0.3" footer="0.3"/>
  <pageSetup scale="85" orientation="portrait" r:id="rId1"/>
</worksheet>
</file>

<file path=xl/worksheets/sheet15.xml><?xml version="1.0" encoding="utf-8"?>
<worksheet xmlns="http://schemas.openxmlformats.org/spreadsheetml/2006/main" xmlns:r="http://schemas.openxmlformats.org/officeDocument/2006/relationships">
  <dimension ref="A1:H51"/>
  <sheetViews>
    <sheetView view="pageBreakPreview" zoomScaleSheetLayoutView="100" workbookViewId="0">
      <selection activeCell="D46" sqref="D46"/>
    </sheetView>
  </sheetViews>
  <sheetFormatPr defaultRowHeight="15"/>
  <cols>
    <col min="1" max="1" width="24.28515625" style="42" customWidth="1"/>
    <col min="2" max="5" width="15.42578125" style="42" customWidth="1"/>
    <col min="6" max="16384" width="9.140625" style="42"/>
  </cols>
  <sheetData>
    <row r="1" spans="1:7" ht="30" customHeight="1">
      <c r="A1" s="181" t="s">
        <v>229</v>
      </c>
      <c r="B1" s="181"/>
      <c r="C1" s="181"/>
      <c r="D1" s="181"/>
      <c r="E1" s="181"/>
    </row>
    <row r="3" spans="1:7" ht="31.5" customHeight="1">
      <c r="A3" s="181" t="s">
        <v>134</v>
      </c>
      <c r="B3" s="181"/>
      <c r="C3" s="181"/>
      <c r="D3" s="181"/>
      <c r="E3" s="181"/>
    </row>
    <row r="4" spans="1:7">
      <c r="B4" s="193" t="s">
        <v>13</v>
      </c>
      <c r="C4" s="193"/>
      <c r="D4" s="193" t="s">
        <v>14</v>
      </c>
      <c r="E4" s="193"/>
    </row>
    <row r="5" spans="1:7">
      <c r="B5" s="173" t="s">
        <v>224</v>
      </c>
      <c r="C5" s="173" t="s">
        <v>15</v>
      </c>
      <c r="D5" s="66" t="s">
        <v>224</v>
      </c>
      <c r="E5" s="173" t="s">
        <v>15</v>
      </c>
    </row>
    <row r="6" spans="1:7">
      <c r="A6" s="66" t="s">
        <v>0</v>
      </c>
      <c r="B6" s="156">
        <f>'10'!C62</f>
        <v>1.7233684535394422</v>
      </c>
      <c r="C6" s="91">
        <f>'9'!C65</f>
        <v>4.1419195973836809</v>
      </c>
      <c r="D6" s="156">
        <f>'10'!N52</f>
        <v>1.2429616349675321</v>
      </c>
      <c r="E6" s="91">
        <f>'9'!N52</f>
        <v>3.8429377575619927</v>
      </c>
      <c r="G6" s="4"/>
    </row>
    <row r="7" spans="1:7">
      <c r="A7" s="67" t="s">
        <v>2</v>
      </c>
      <c r="B7" s="157">
        <f>'10'!D62</f>
        <v>1.7626226180063931</v>
      </c>
      <c r="C7" s="94">
        <f>'9'!D65</f>
        <v>4.1820209270667208</v>
      </c>
      <c r="D7" s="157">
        <f>'10'!O52</f>
        <v>1.2735255297006809</v>
      </c>
      <c r="E7" s="94">
        <f>'9'!O52</f>
        <v>3.8429377575619927</v>
      </c>
    </row>
    <row r="8" spans="1:7">
      <c r="A8" s="67" t="s">
        <v>143</v>
      </c>
      <c r="B8" s="157">
        <f>B6-B7</f>
        <v>-3.9254164466950847E-2</v>
      </c>
      <c r="C8" s="94">
        <f>C6-C7</f>
        <v>-4.0101329683039921E-2</v>
      </c>
      <c r="D8" s="157">
        <f>D6-D7</f>
        <v>-3.05638947331488E-2</v>
      </c>
      <c r="E8" s="94">
        <f>E6-E7</f>
        <v>0</v>
      </c>
    </row>
    <row r="9" spans="1:7">
      <c r="A9" s="67" t="s">
        <v>6</v>
      </c>
      <c r="B9" s="157">
        <f>'10'!E62</f>
        <v>1.728319228634323</v>
      </c>
      <c r="C9" s="94">
        <f>'9'!E65</f>
        <v>4.148778618122595</v>
      </c>
      <c r="D9" s="157">
        <f>'10'!P52</f>
        <v>1.3004810503107533</v>
      </c>
      <c r="E9" s="94">
        <f>'9'!P52</f>
        <v>3.901934303799659</v>
      </c>
    </row>
    <row r="10" spans="1:7">
      <c r="A10" s="67" t="s">
        <v>3</v>
      </c>
      <c r="B10" s="157">
        <f>'10'!F62</f>
        <v>1.7671506566622419</v>
      </c>
      <c r="C10" s="94">
        <f>'9'!F65</f>
        <v>4.1885442874433965</v>
      </c>
      <c r="D10" s="157">
        <f>'10'!Q52</f>
        <v>1.3310623093853557</v>
      </c>
      <c r="E10" s="94">
        <f>'9'!Q52</f>
        <v>3.901934303799659</v>
      </c>
    </row>
    <row r="11" spans="1:7">
      <c r="A11" s="67" t="s">
        <v>143</v>
      </c>
      <c r="B11" s="157">
        <f>B9-B10</f>
        <v>-3.8831428027918946E-2</v>
      </c>
      <c r="C11" s="94">
        <f>C9-C10</f>
        <v>-3.97656693208015E-2</v>
      </c>
      <c r="D11" s="157">
        <f>D9-D10</f>
        <v>-3.0581259074602407E-2</v>
      </c>
      <c r="E11" s="94">
        <f>E9-E10</f>
        <v>0</v>
      </c>
    </row>
    <row r="12" spans="1:7">
      <c r="A12" s="67" t="s">
        <v>4</v>
      </c>
      <c r="B12" s="157">
        <f>'10'!G62</f>
        <v>1.5444385335561472</v>
      </c>
      <c r="C12" s="94">
        <f>'9'!G65</f>
        <v>4.1158132130507452</v>
      </c>
      <c r="D12" s="157">
        <f>'10'!R52</f>
        <v>1.8594567883817081</v>
      </c>
      <c r="E12" s="94">
        <f>'9'!R52</f>
        <v>3.9978640276532751</v>
      </c>
      <c r="G12" s="27"/>
    </row>
    <row r="13" spans="1:7">
      <c r="A13" s="67" t="s">
        <v>5</v>
      </c>
      <c r="B13" s="157">
        <f>'10'!H62</f>
        <v>1.590766572715796</v>
      </c>
      <c r="C13" s="94">
        <f>'9'!H65</f>
        <v>4.1633216569181508</v>
      </c>
      <c r="D13" s="157">
        <f>'10'!S52</f>
        <v>1.2447281310930425</v>
      </c>
      <c r="E13" s="94">
        <f>'9'!S52</f>
        <v>3.8134097396959943</v>
      </c>
    </row>
    <row r="14" spans="1:7">
      <c r="A14" s="67" t="s">
        <v>143</v>
      </c>
      <c r="B14" s="157">
        <f>B12-B13</f>
        <v>-4.6328039159648782E-2</v>
      </c>
      <c r="C14" s="94">
        <f>C12-C13</f>
        <v>-4.7508443867405603E-2</v>
      </c>
      <c r="D14" s="157">
        <f>D12-D13</f>
        <v>0.61472865728866566</v>
      </c>
      <c r="E14" s="94">
        <f>E12-E13</f>
        <v>0.1844542879572808</v>
      </c>
    </row>
    <row r="15" spans="1:7">
      <c r="A15" s="67" t="s">
        <v>1</v>
      </c>
      <c r="B15" s="157">
        <f>'10'!I62</f>
        <v>1.5519324348036267</v>
      </c>
      <c r="C15" s="94">
        <f>'9'!I65</f>
        <v>4.124373252020086</v>
      </c>
      <c r="D15" s="157">
        <f>'10'!T52</f>
        <v>1.8589470497755389</v>
      </c>
      <c r="E15" s="94">
        <f>'9'!T52</f>
        <v>3.9974809454054405</v>
      </c>
    </row>
    <row r="16" spans="1:7">
      <c r="A16" s="67" t="s">
        <v>7</v>
      </c>
      <c r="B16" s="157">
        <f>'10'!J62</f>
        <v>1.7509785506275799</v>
      </c>
      <c r="C16" s="94">
        <f>'9'!J65</f>
        <v>4.1440275841254204</v>
      </c>
      <c r="D16" s="157">
        <f>'10'!U52</f>
        <v>1.3127911126759262</v>
      </c>
      <c r="E16" s="94">
        <f>'9'!U52</f>
        <v>3.8831995482677684</v>
      </c>
    </row>
    <row r="17" spans="1:8">
      <c r="A17" s="68" t="s">
        <v>143</v>
      </c>
      <c r="B17" s="158">
        <f>B15-B16</f>
        <v>-0.19904611582395315</v>
      </c>
      <c r="C17" s="97">
        <f>C15-C16</f>
        <v>-1.9654332105334404E-2</v>
      </c>
      <c r="D17" s="158">
        <f>D15-D16</f>
        <v>0.54615593709961274</v>
      </c>
      <c r="E17" s="97">
        <f>E15-E16</f>
        <v>0.11428139713767216</v>
      </c>
    </row>
    <row r="18" spans="1:8">
      <c r="A18" s="9"/>
      <c r="B18" s="41"/>
      <c r="C18" s="41"/>
      <c r="D18" s="41"/>
      <c r="E18" s="41"/>
    </row>
    <row r="19" spans="1:8" ht="29.25" customHeight="1">
      <c r="A19" s="181" t="s">
        <v>135</v>
      </c>
      <c r="B19" s="181"/>
      <c r="C19" s="181"/>
      <c r="D19" s="181"/>
      <c r="E19" s="181"/>
    </row>
    <row r="20" spans="1:8">
      <c r="B20" s="193" t="s">
        <v>13</v>
      </c>
      <c r="C20" s="193"/>
      <c r="D20" s="193" t="s">
        <v>14</v>
      </c>
      <c r="E20" s="193"/>
    </row>
    <row r="21" spans="1:8">
      <c r="B21" s="173" t="s">
        <v>224</v>
      </c>
      <c r="C21" s="173" t="s">
        <v>15</v>
      </c>
      <c r="D21" s="66" t="s">
        <v>224</v>
      </c>
      <c r="E21" s="173" t="s">
        <v>15</v>
      </c>
    </row>
    <row r="22" spans="1:8">
      <c r="A22" s="66" t="str">
        <f>A9</f>
        <v>Gross national product</v>
      </c>
      <c r="B22" s="156">
        <f>B9</f>
        <v>1.728319228634323</v>
      </c>
      <c r="C22" s="91">
        <f>C9</f>
        <v>4.148778618122595</v>
      </c>
      <c r="D22" s="156">
        <f>D9</f>
        <v>1.3004810503107533</v>
      </c>
      <c r="E22" s="91">
        <f>E9</f>
        <v>3.901934303799659</v>
      </c>
    </row>
    <row r="23" spans="1:8">
      <c r="A23" s="67" t="str">
        <f>A6</f>
        <v>Gross domestic product</v>
      </c>
      <c r="B23" s="157">
        <f>B6</f>
        <v>1.7233684535394422</v>
      </c>
      <c r="C23" s="94">
        <f>C6</f>
        <v>4.1419195973836809</v>
      </c>
      <c r="D23" s="157">
        <f>D6</f>
        <v>1.2429616349675321</v>
      </c>
      <c r="E23" s="94">
        <f>E6</f>
        <v>3.8429377575619927</v>
      </c>
    </row>
    <row r="24" spans="1:8">
      <c r="A24" s="67" t="s">
        <v>143</v>
      </c>
      <c r="B24" s="157">
        <f>B22-B23</f>
        <v>4.9507750948807328E-3</v>
      </c>
      <c r="C24" s="94">
        <f>C22-C23</f>
        <v>6.85902073891409E-3</v>
      </c>
      <c r="D24" s="157">
        <f>D22-D23</f>
        <v>5.7519415343221247E-2</v>
      </c>
      <c r="E24" s="94">
        <f>E22-E23</f>
        <v>5.8996546237666259E-2</v>
      </c>
      <c r="G24" s="4"/>
      <c r="H24" s="4"/>
    </row>
    <row r="25" spans="1:8">
      <c r="A25" s="67" t="str">
        <f>A10</f>
        <v>Gross national income</v>
      </c>
      <c r="B25" s="157">
        <f>B10</f>
        <v>1.7671506566622419</v>
      </c>
      <c r="C25" s="94">
        <f>C10</f>
        <v>4.1885442874433965</v>
      </c>
      <c r="D25" s="157">
        <f>D10</f>
        <v>1.3310623093853557</v>
      </c>
      <c r="E25" s="94">
        <f>E10</f>
        <v>3.901934303799659</v>
      </c>
    </row>
    <row r="26" spans="1:8">
      <c r="A26" s="67" t="str">
        <f>A7</f>
        <v>Gross domestic income</v>
      </c>
      <c r="B26" s="157">
        <f>B7</f>
        <v>1.7626226180063931</v>
      </c>
      <c r="C26" s="94">
        <f>C7</f>
        <v>4.1820209270667208</v>
      </c>
      <c r="D26" s="157">
        <f>D7</f>
        <v>1.2735255297006809</v>
      </c>
      <c r="E26" s="94">
        <f>E7</f>
        <v>3.8429377575619927</v>
      </c>
    </row>
    <row r="27" spans="1:8">
      <c r="A27" s="67" t="s">
        <v>143</v>
      </c>
      <c r="B27" s="157">
        <f>B25-B26</f>
        <v>4.5280386558488317E-3</v>
      </c>
      <c r="C27" s="94">
        <f>C25-C26</f>
        <v>6.5233603766756687E-3</v>
      </c>
      <c r="D27" s="157">
        <f>D25-D26</f>
        <v>5.7536779684674855E-2</v>
      </c>
      <c r="E27" s="94">
        <f>E25-E26</f>
        <v>5.8996546237666259E-2</v>
      </c>
    </row>
    <row r="28" spans="1:8">
      <c r="A28" s="67" t="str">
        <f>A15</f>
        <v>Net national product</v>
      </c>
      <c r="B28" s="157">
        <f>B15</f>
        <v>1.5519324348036267</v>
      </c>
      <c r="C28" s="94">
        <f>C15</f>
        <v>4.124373252020086</v>
      </c>
      <c r="D28" s="157">
        <f>D15</f>
        <v>1.8589470497755389</v>
      </c>
      <c r="E28" s="94">
        <f>E15</f>
        <v>3.9974809454054405</v>
      </c>
    </row>
    <row r="29" spans="1:8">
      <c r="A29" s="67" t="str">
        <f>A12</f>
        <v>Net domestic product</v>
      </c>
      <c r="B29" s="157">
        <f>B12</f>
        <v>1.5444385335561472</v>
      </c>
      <c r="C29" s="94">
        <f>C12</f>
        <v>4.1158132130507452</v>
      </c>
      <c r="D29" s="157">
        <f>D12</f>
        <v>1.8594567883817081</v>
      </c>
      <c r="E29" s="94">
        <f>E12</f>
        <v>3.9978640276532751</v>
      </c>
    </row>
    <row r="30" spans="1:8">
      <c r="A30" s="67" t="s">
        <v>143</v>
      </c>
      <c r="B30" s="157">
        <f>B28-B29</f>
        <v>7.4939012474795064E-3</v>
      </c>
      <c r="C30" s="94">
        <f>C28-C29</f>
        <v>8.5600389693407664E-3</v>
      </c>
      <c r="D30" s="157">
        <f>D28-D29</f>
        <v>-5.0973860616920774E-4</v>
      </c>
      <c r="E30" s="94">
        <f>E28-E29</f>
        <v>-3.8308224783456524E-4</v>
      </c>
    </row>
    <row r="31" spans="1:8">
      <c r="A31" s="67" t="str">
        <f>A16</f>
        <v>Net national income</v>
      </c>
      <c r="B31" s="157">
        <f>B16</f>
        <v>1.7509785506275799</v>
      </c>
      <c r="C31" s="94">
        <f>C16</f>
        <v>4.1440275841254204</v>
      </c>
      <c r="D31" s="157">
        <f>D16</f>
        <v>1.3127911126759262</v>
      </c>
      <c r="E31" s="94">
        <f>E16</f>
        <v>3.8831995482677684</v>
      </c>
    </row>
    <row r="32" spans="1:8">
      <c r="A32" s="67" t="str">
        <f>A13</f>
        <v>Net domestic income</v>
      </c>
      <c r="B32" s="157">
        <f>B13</f>
        <v>1.590766572715796</v>
      </c>
      <c r="C32" s="94">
        <f>C13</f>
        <v>4.1633216569181508</v>
      </c>
      <c r="D32" s="157">
        <f>D13</f>
        <v>1.2447281310930425</v>
      </c>
      <c r="E32" s="94">
        <f>E13</f>
        <v>3.8134097396959943</v>
      </c>
    </row>
    <row r="33" spans="1:5">
      <c r="A33" s="68" t="s">
        <v>143</v>
      </c>
      <c r="B33" s="158">
        <f>B31-B32</f>
        <v>0.16021197791178388</v>
      </c>
      <c r="C33" s="97">
        <f>C31-C32</f>
        <v>-1.9294072792730432E-2</v>
      </c>
      <c r="D33" s="158">
        <f>D31-D32</f>
        <v>6.8062981582883708E-2</v>
      </c>
      <c r="E33" s="97">
        <f>E31-E32</f>
        <v>6.9789808571774081E-2</v>
      </c>
    </row>
    <row r="35" spans="1:5" ht="29.25" customHeight="1">
      <c r="A35" s="181" t="s">
        <v>136</v>
      </c>
      <c r="B35" s="181"/>
      <c r="C35" s="181"/>
      <c r="D35" s="181"/>
      <c r="E35" s="181"/>
    </row>
    <row r="36" spans="1:5">
      <c r="B36" s="193" t="s">
        <v>13</v>
      </c>
      <c r="C36" s="193"/>
      <c r="D36" s="193" t="s">
        <v>14</v>
      </c>
      <c r="E36" s="193"/>
    </row>
    <row r="37" spans="1:5">
      <c r="B37" s="173" t="s">
        <v>224</v>
      </c>
      <c r="C37" s="173" t="s">
        <v>15</v>
      </c>
      <c r="D37" s="66" t="s">
        <v>224</v>
      </c>
      <c r="E37" s="173" t="s">
        <v>15</v>
      </c>
    </row>
    <row r="38" spans="1:5">
      <c r="A38" s="66" t="str">
        <f>A6</f>
        <v>Gross domestic product</v>
      </c>
      <c r="B38" s="156">
        <f>B6</f>
        <v>1.7233684535394422</v>
      </c>
      <c r="C38" s="91">
        <f>C6</f>
        <v>4.1419195973836809</v>
      </c>
      <c r="D38" s="156">
        <f>D6</f>
        <v>1.2429616349675321</v>
      </c>
      <c r="E38" s="91">
        <f>E6</f>
        <v>3.8429377575619927</v>
      </c>
    </row>
    <row r="39" spans="1:5">
      <c r="A39" s="67" t="str">
        <f>A12</f>
        <v>Net domestic product</v>
      </c>
      <c r="B39" s="157">
        <f>B12</f>
        <v>1.5444385335561472</v>
      </c>
      <c r="C39" s="94">
        <f>C12</f>
        <v>4.1158132130507452</v>
      </c>
      <c r="D39" s="157">
        <f>D12</f>
        <v>1.8594567883817081</v>
      </c>
      <c r="E39" s="94">
        <f>E12</f>
        <v>3.9978640276532751</v>
      </c>
    </row>
    <row r="40" spans="1:5">
      <c r="A40" s="67" t="s">
        <v>143</v>
      </c>
      <c r="B40" s="157">
        <f>B38-B39</f>
        <v>0.17892991998329499</v>
      </c>
      <c r="C40" s="94">
        <f>C38-C39</f>
        <v>2.6106384332935662E-2</v>
      </c>
      <c r="D40" s="157">
        <f>D38-D39</f>
        <v>-0.61649515341417604</v>
      </c>
      <c r="E40" s="94">
        <f>E38-E39</f>
        <v>-0.15492627009128235</v>
      </c>
    </row>
    <row r="41" spans="1:5">
      <c r="A41" s="67" t="str">
        <f>A7</f>
        <v>Gross domestic income</v>
      </c>
      <c r="B41" s="157">
        <f>B7</f>
        <v>1.7626226180063931</v>
      </c>
      <c r="C41" s="94">
        <f>C7</f>
        <v>4.1820209270667208</v>
      </c>
      <c r="D41" s="157">
        <f>D7</f>
        <v>1.2735255297006809</v>
      </c>
      <c r="E41" s="94">
        <f>E7</f>
        <v>3.8429377575619927</v>
      </c>
    </row>
    <row r="42" spans="1:5">
      <c r="A42" s="67" t="str">
        <f>A13</f>
        <v>Net domestic income</v>
      </c>
      <c r="B42" s="157">
        <f>B13</f>
        <v>1.590766572715796</v>
      </c>
      <c r="C42" s="94">
        <f>C13</f>
        <v>4.1633216569181508</v>
      </c>
      <c r="D42" s="157">
        <f>D13</f>
        <v>1.2447281310930425</v>
      </c>
      <c r="E42" s="94">
        <f>E13</f>
        <v>3.8134097396959943</v>
      </c>
    </row>
    <row r="43" spans="1:5">
      <c r="A43" s="67" t="s">
        <v>143</v>
      </c>
      <c r="B43" s="157">
        <f>B41-B42</f>
        <v>0.17185604529059706</v>
      </c>
      <c r="C43" s="94">
        <f>C41-C42</f>
        <v>1.869927014856998E-2</v>
      </c>
      <c r="D43" s="157">
        <f>D41-D42</f>
        <v>2.8797398607638414E-2</v>
      </c>
      <c r="E43" s="94">
        <f>E41-E42</f>
        <v>2.9528017865998457E-2</v>
      </c>
    </row>
    <row r="44" spans="1:5">
      <c r="A44" s="67" t="str">
        <f>A9</f>
        <v>Gross national product</v>
      </c>
      <c r="B44" s="157">
        <f>B9</f>
        <v>1.728319228634323</v>
      </c>
      <c r="C44" s="94">
        <f>C9</f>
        <v>4.148778618122595</v>
      </c>
      <c r="D44" s="157">
        <f>D9</f>
        <v>1.3004810503107533</v>
      </c>
      <c r="E44" s="94">
        <f>E9</f>
        <v>3.901934303799659</v>
      </c>
    </row>
    <row r="45" spans="1:5">
      <c r="A45" s="67" t="str">
        <f>A15</f>
        <v>Net national product</v>
      </c>
      <c r="B45" s="157">
        <f>B15</f>
        <v>1.5519324348036267</v>
      </c>
      <c r="C45" s="94">
        <f>C15</f>
        <v>4.124373252020086</v>
      </c>
      <c r="D45" s="157">
        <f>D15</f>
        <v>1.8589470497755389</v>
      </c>
      <c r="E45" s="94">
        <f>E15</f>
        <v>3.9974809454054405</v>
      </c>
    </row>
    <row r="46" spans="1:5">
      <c r="A46" s="67" t="s">
        <v>143</v>
      </c>
      <c r="B46" s="157">
        <f>B44-B45</f>
        <v>0.17638679383069622</v>
      </c>
      <c r="C46" s="94">
        <f>C44-C45</f>
        <v>2.4405366102508985E-2</v>
      </c>
      <c r="D46" s="157">
        <f>D44-D45</f>
        <v>-0.55846599946478559</v>
      </c>
      <c r="E46" s="94">
        <f>E44-E45</f>
        <v>-9.5546641605781524E-2</v>
      </c>
    </row>
    <row r="47" spans="1:5">
      <c r="A47" s="67" t="str">
        <f>A10</f>
        <v>Gross national income</v>
      </c>
      <c r="B47" s="157">
        <f>B10</f>
        <v>1.7671506566622419</v>
      </c>
      <c r="C47" s="94">
        <f>C10</f>
        <v>4.1885442874433965</v>
      </c>
      <c r="D47" s="157">
        <f>D10</f>
        <v>1.3310623093853557</v>
      </c>
      <c r="E47" s="94">
        <f>E10</f>
        <v>3.901934303799659</v>
      </c>
    </row>
    <row r="48" spans="1:5">
      <c r="A48" s="67" t="str">
        <f>A16</f>
        <v>Net national income</v>
      </c>
      <c r="B48" s="157">
        <f>B16</f>
        <v>1.7509785506275799</v>
      </c>
      <c r="C48" s="94">
        <f>C16</f>
        <v>4.1440275841254204</v>
      </c>
      <c r="D48" s="157">
        <f>D16</f>
        <v>1.3127911126759262</v>
      </c>
      <c r="E48" s="94">
        <f>E16</f>
        <v>3.8831995482677684</v>
      </c>
    </row>
    <row r="49" spans="1:5">
      <c r="A49" s="68" t="s">
        <v>143</v>
      </c>
      <c r="B49" s="158">
        <f>B47-B48</f>
        <v>1.6172106034662015E-2</v>
      </c>
      <c r="C49" s="97">
        <f>C47-C48</f>
        <v>4.4516703317976081E-2</v>
      </c>
      <c r="D49" s="158">
        <f>D47-D48</f>
        <v>1.827119670942956E-2</v>
      </c>
      <c r="E49" s="97">
        <f>E47-E48</f>
        <v>1.8734755531890634E-2</v>
      </c>
    </row>
    <row r="51" spans="1:5">
      <c r="A51" s="174" t="s">
        <v>164</v>
      </c>
      <c r="B51" s="174"/>
      <c r="C51" s="174"/>
      <c r="D51" s="174"/>
      <c r="E51" s="174"/>
    </row>
  </sheetData>
  <mergeCells count="11">
    <mergeCell ref="A51:E51"/>
    <mergeCell ref="A35:E35"/>
    <mergeCell ref="B36:C36"/>
    <mergeCell ref="D36:E36"/>
    <mergeCell ref="A1:E1"/>
    <mergeCell ref="A3:E3"/>
    <mergeCell ref="B4:C4"/>
    <mergeCell ref="D4:E4"/>
    <mergeCell ref="A19:E19"/>
    <mergeCell ref="B20:C20"/>
    <mergeCell ref="D20:E20"/>
  </mergeCells>
  <pageMargins left="0.7" right="0.7" top="0.75" bottom="0.75" header="0.3" footer="0.3"/>
  <pageSetup scale="85" orientation="portrait" r:id="rId1"/>
</worksheet>
</file>

<file path=xl/worksheets/sheet16.xml><?xml version="1.0" encoding="utf-8"?>
<worksheet xmlns="http://schemas.openxmlformats.org/spreadsheetml/2006/main" xmlns:r="http://schemas.openxmlformats.org/officeDocument/2006/relationships">
  <sheetPr codeName="Sheet20"/>
  <dimension ref="A1:BD80"/>
  <sheetViews>
    <sheetView view="pageBreakPreview" zoomScaleSheetLayoutView="100" workbookViewId="0">
      <selection activeCell="A58" sqref="A58"/>
    </sheetView>
  </sheetViews>
  <sheetFormatPr defaultRowHeight="15"/>
  <cols>
    <col min="1" max="1" width="9.140625" style="15"/>
    <col min="2" max="2" width="55" style="15" customWidth="1"/>
    <col min="3" max="16384" width="9.140625" style="15"/>
  </cols>
  <sheetData>
    <row r="1" spans="1:2">
      <c r="A1" s="184" t="s">
        <v>232</v>
      </c>
      <c r="B1" s="184"/>
    </row>
    <row r="2" spans="1:2">
      <c r="A2" s="53" t="s">
        <v>39</v>
      </c>
      <c r="B2" s="86" t="s">
        <v>107</v>
      </c>
    </row>
    <row r="3" spans="1:2">
      <c r="A3" s="108"/>
      <c r="B3" s="66" t="s">
        <v>103</v>
      </c>
    </row>
    <row r="4" spans="1:2">
      <c r="A4" s="102" t="s">
        <v>55</v>
      </c>
      <c r="B4" s="121">
        <v>0.94867000000000001</v>
      </c>
    </row>
    <row r="5" spans="1:2">
      <c r="A5" s="103" t="s">
        <v>56</v>
      </c>
      <c r="B5" s="122">
        <v>0.94162599999999996</v>
      </c>
    </row>
    <row r="6" spans="1:2">
      <c r="A6" s="103" t="s">
        <v>57</v>
      </c>
      <c r="B6" s="122">
        <v>0.94810700000000003</v>
      </c>
    </row>
    <row r="7" spans="1:2">
      <c r="A7" s="103" t="s">
        <v>58</v>
      </c>
      <c r="B7" s="122">
        <v>0.957314</v>
      </c>
    </row>
    <row r="8" spans="1:2">
      <c r="A8" s="103" t="s">
        <v>59</v>
      </c>
      <c r="B8" s="122">
        <v>0.96387400000000001</v>
      </c>
    </row>
    <row r="9" spans="1:2">
      <c r="A9" s="103" t="s">
        <v>60</v>
      </c>
      <c r="B9" s="122">
        <v>0.97776399999999997</v>
      </c>
    </row>
    <row r="10" spans="1:2">
      <c r="A10" s="103" t="s">
        <v>61</v>
      </c>
      <c r="B10" s="122">
        <v>0.99230399999999996</v>
      </c>
    </row>
    <row r="11" spans="1:2">
      <c r="A11" s="103" t="s">
        <v>62</v>
      </c>
      <c r="B11" s="122">
        <v>0.98069799999999996</v>
      </c>
    </row>
    <row r="12" spans="1:2">
      <c r="A12" s="103" t="s">
        <v>63</v>
      </c>
      <c r="B12" s="122">
        <v>0.97448000000000001</v>
      </c>
    </row>
    <row r="13" spans="1:2">
      <c r="A13" s="103" t="s">
        <v>64</v>
      </c>
      <c r="B13" s="122">
        <v>0.93239700000000003</v>
      </c>
    </row>
    <row r="14" spans="1:2">
      <c r="A14" s="103" t="s">
        <v>65</v>
      </c>
      <c r="B14" s="122">
        <v>0.93029099999999998</v>
      </c>
    </row>
    <row r="15" spans="1:2">
      <c r="A15" s="103" t="s">
        <v>66</v>
      </c>
      <c r="B15" s="122">
        <v>0.944357</v>
      </c>
    </row>
    <row r="16" spans="1:2">
      <c r="A16" s="103" t="s">
        <v>67</v>
      </c>
      <c r="B16" s="122">
        <v>0.98202100000000003</v>
      </c>
    </row>
    <row r="17" spans="1:56">
      <c r="A17" s="103" t="s">
        <v>68</v>
      </c>
      <c r="B17" s="122">
        <v>1.0378750000000001</v>
      </c>
    </row>
    <row r="18" spans="1:56">
      <c r="A18" s="103" t="s">
        <v>69</v>
      </c>
      <c r="B18" s="122">
        <v>1.051482</v>
      </c>
    </row>
    <row r="19" spans="1:56">
      <c r="A19" s="103" t="s">
        <v>70</v>
      </c>
      <c r="B19" s="122">
        <v>1.091283</v>
      </c>
    </row>
    <row r="20" spans="1:56">
      <c r="A20" s="103" t="s">
        <v>71</v>
      </c>
      <c r="B20" s="122">
        <v>1.097275</v>
      </c>
    </row>
    <row r="21" spans="1:56">
      <c r="A21" s="103" t="s">
        <v>72</v>
      </c>
      <c r="B21" s="122">
        <v>1.0928580000000001</v>
      </c>
    </row>
    <row r="22" spans="1:56">
      <c r="A22" s="103" t="s">
        <v>73</v>
      </c>
      <c r="B22" s="122">
        <v>1.109901</v>
      </c>
    </row>
    <row r="23" spans="1:56">
      <c r="A23" s="103" t="s">
        <v>74</v>
      </c>
      <c r="B23" s="122">
        <v>1.1204730000000001</v>
      </c>
    </row>
    <row r="24" spans="1:56">
      <c r="A24" s="103">
        <v>1981</v>
      </c>
      <c r="B24" s="122">
        <v>1.133928</v>
      </c>
    </row>
    <row r="25" spans="1:56">
      <c r="A25" s="103" t="s">
        <v>75</v>
      </c>
      <c r="B25" s="122">
        <v>1.1623330000000001</v>
      </c>
    </row>
    <row r="26" spans="1:56">
      <c r="A26" s="103" t="s">
        <v>76</v>
      </c>
      <c r="B26" s="122">
        <v>1.1829799999999999</v>
      </c>
    </row>
    <row r="27" spans="1:56">
      <c r="A27" s="103" t="s">
        <v>77</v>
      </c>
      <c r="B27" s="122">
        <v>1.182069</v>
      </c>
    </row>
    <row r="28" spans="1:56">
      <c r="A28" s="103" t="s">
        <v>78</v>
      </c>
      <c r="B28" s="122">
        <v>1.18397</v>
      </c>
    </row>
    <row r="29" spans="1:56">
      <c r="A29" s="103" t="s">
        <v>79</v>
      </c>
      <c r="B29" s="122">
        <v>1.1961949999999999</v>
      </c>
    </row>
    <row r="30" spans="1:56">
      <c r="A30" s="103" t="s">
        <v>80</v>
      </c>
      <c r="B30" s="122">
        <v>1.2229099999999999</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row>
    <row r="31" spans="1:56">
      <c r="A31" s="103" t="s">
        <v>81</v>
      </c>
      <c r="B31" s="122">
        <v>1.234923</v>
      </c>
    </row>
    <row r="32" spans="1:56">
      <c r="A32" s="103" t="s">
        <v>82</v>
      </c>
      <c r="B32" s="122">
        <v>1.2443470000000001</v>
      </c>
    </row>
    <row r="33" spans="1:20">
      <c r="A33" s="103" t="s">
        <v>83</v>
      </c>
      <c r="B33" s="122">
        <v>1.2405090000000001</v>
      </c>
    </row>
    <row r="34" spans="1:20">
      <c r="A34" s="103" t="s">
        <v>84</v>
      </c>
      <c r="B34" s="122">
        <v>1.237058</v>
      </c>
    </row>
    <row r="35" spans="1:20">
      <c r="A35" s="103" t="s">
        <v>85</v>
      </c>
      <c r="B35" s="122">
        <v>1.2276549999999999</v>
      </c>
    </row>
    <row r="36" spans="1:20">
      <c r="A36" s="103" t="s">
        <v>86</v>
      </c>
      <c r="B36" s="122">
        <v>1.2148669999999999</v>
      </c>
    </row>
    <row r="37" spans="1:20">
      <c r="A37" s="103" t="s">
        <v>87</v>
      </c>
      <c r="B37" s="122">
        <v>1.2069570000000001</v>
      </c>
    </row>
    <row r="38" spans="1:20">
      <c r="A38" s="103" t="s">
        <v>88</v>
      </c>
      <c r="B38" s="122">
        <v>1.208893</v>
      </c>
    </row>
    <row r="39" spans="1:20">
      <c r="A39" s="103" t="s">
        <v>89</v>
      </c>
      <c r="B39" s="122">
        <v>1.2078660000000001</v>
      </c>
    </row>
    <row r="40" spans="1:20">
      <c r="A40" s="103" t="s">
        <v>90</v>
      </c>
      <c r="B40" s="122">
        <v>1.2009430000000001</v>
      </c>
    </row>
    <row r="41" spans="1:20">
      <c r="A41" s="103" t="s">
        <v>91</v>
      </c>
      <c r="B41" s="122">
        <v>1.1854340000000001</v>
      </c>
    </row>
    <row r="42" spans="1:20">
      <c r="A42" s="103" t="s">
        <v>92</v>
      </c>
      <c r="B42" s="122">
        <v>1.1908099999999999</v>
      </c>
    </row>
    <row r="43" spans="1:20">
      <c r="A43" s="103" t="s">
        <v>93</v>
      </c>
      <c r="B43" s="122">
        <v>1.2275700000000001</v>
      </c>
    </row>
    <row r="44" spans="1:20">
      <c r="A44" s="103" t="s">
        <v>94</v>
      </c>
      <c r="B44" s="122">
        <v>1.221141</v>
      </c>
    </row>
    <row r="45" spans="1:20">
      <c r="A45" s="103" t="s">
        <v>95</v>
      </c>
      <c r="B45" s="122">
        <v>1.229333</v>
      </c>
      <c r="D45" s="42"/>
      <c r="E45" s="42"/>
      <c r="G45" s="42"/>
      <c r="H45" s="42"/>
      <c r="I45" s="42"/>
      <c r="J45" s="42"/>
      <c r="K45" s="42"/>
      <c r="L45" s="42"/>
      <c r="M45" s="42"/>
      <c r="N45" s="42"/>
      <c r="O45" s="42"/>
      <c r="P45" s="42"/>
      <c r="Q45" s="42"/>
      <c r="R45" s="42"/>
      <c r="S45" s="42"/>
      <c r="T45" s="42"/>
    </row>
    <row r="46" spans="1:20">
      <c r="A46" s="103" t="s">
        <v>96</v>
      </c>
      <c r="B46" s="122">
        <v>1.2261249999999999</v>
      </c>
      <c r="D46" s="42"/>
      <c r="E46" s="42"/>
      <c r="F46" s="42"/>
      <c r="G46" s="42"/>
      <c r="H46" s="42"/>
      <c r="I46" s="42"/>
      <c r="J46" s="42"/>
      <c r="K46" s="42"/>
      <c r="L46" s="42"/>
      <c r="M46" s="42"/>
      <c r="N46" s="42"/>
      <c r="O46" s="42"/>
      <c r="P46" s="42"/>
      <c r="Q46" s="42"/>
      <c r="R46" s="42"/>
      <c r="S46" s="42"/>
      <c r="T46" s="42"/>
    </row>
    <row r="47" spans="1:20">
      <c r="A47" s="103" t="s">
        <v>97</v>
      </c>
      <c r="B47" s="122">
        <v>1.2331460000000001</v>
      </c>
      <c r="D47" s="42"/>
      <c r="E47" s="42"/>
      <c r="F47" s="42"/>
      <c r="G47" s="42"/>
      <c r="H47" s="42"/>
      <c r="I47" s="42"/>
      <c r="J47" s="42"/>
      <c r="K47" s="42"/>
      <c r="L47" s="42"/>
      <c r="M47" s="42"/>
      <c r="N47" s="42"/>
      <c r="O47" s="42"/>
      <c r="P47" s="42"/>
      <c r="Q47" s="42"/>
      <c r="R47" s="42"/>
      <c r="S47" s="42"/>
      <c r="T47" s="42"/>
    </row>
    <row r="48" spans="1:20">
      <c r="A48" s="103" t="s">
        <v>98</v>
      </c>
      <c r="B48" s="122">
        <v>1.2136439999999999</v>
      </c>
      <c r="D48" s="42"/>
      <c r="E48" s="42"/>
      <c r="F48" s="42"/>
      <c r="G48" s="42"/>
      <c r="H48" s="42"/>
      <c r="I48" s="42"/>
      <c r="J48" s="42"/>
      <c r="K48" s="42"/>
      <c r="L48" s="42"/>
      <c r="M48" s="42"/>
      <c r="N48" s="42"/>
      <c r="O48" s="42"/>
      <c r="P48" s="42"/>
      <c r="Q48" s="42"/>
      <c r="R48" s="42"/>
      <c r="S48" s="42"/>
      <c r="T48" s="42"/>
    </row>
    <row r="49" spans="1:20">
      <c r="A49" s="103" t="s">
        <v>99</v>
      </c>
      <c r="B49" s="122">
        <v>1.2056549999999999</v>
      </c>
      <c r="D49" s="42"/>
      <c r="E49" s="42"/>
      <c r="F49" s="42"/>
      <c r="G49" s="42"/>
      <c r="H49" s="42"/>
      <c r="I49" s="42"/>
      <c r="J49" s="42"/>
      <c r="K49" s="42"/>
      <c r="L49" s="42"/>
      <c r="M49" s="42"/>
      <c r="N49" s="42"/>
      <c r="O49" s="42"/>
      <c r="P49" s="42"/>
      <c r="Q49" s="42"/>
      <c r="R49" s="42"/>
      <c r="S49" s="42"/>
      <c r="T49" s="42"/>
    </row>
    <row r="50" spans="1:20">
      <c r="A50" s="103" t="s">
        <v>100</v>
      </c>
      <c r="B50" s="122">
        <v>1.2130810000000001</v>
      </c>
      <c r="D50" s="42"/>
      <c r="E50" s="42"/>
      <c r="F50" s="42"/>
      <c r="G50" s="42"/>
      <c r="H50" s="42"/>
      <c r="I50" s="42"/>
      <c r="J50" s="42"/>
      <c r="K50" s="42"/>
      <c r="L50" s="42"/>
      <c r="M50" s="42"/>
      <c r="N50" s="42"/>
      <c r="O50" s="42"/>
      <c r="P50" s="42"/>
      <c r="Q50" s="42"/>
      <c r="R50" s="42"/>
      <c r="S50" s="42"/>
      <c r="T50" s="42"/>
    </row>
    <row r="51" spans="1:20">
      <c r="A51" s="103" t="s">
        <v>101</v>
      </c>
      <c r="B51" s="122">
        <v>1.2343900000000001</v>
      </c>
      <c r="D51" s="42"/>
      <c r="E51" s="42"/>
      <c r="F51" s="42"/>
      <c r="G51" s="42"/>
      <c r="H51" s="42"/>
      <c r="I51" s="42"/>
      <c r="J51" s="42"/>
      <c r="K51" s="42"/>
      <c r="L51" s="42"/>
      <c r="M51" s="42"/>
      <c r="N51" s="42"/>
      <c r="O51" s="42"/>
      <c r="P51" s="42"/>
      <c r="Q51" s="42"/>
      <c r="R51" s="42"/>
      <c r="S51" s="42"/>
      <c r="T51" s="42"/>
    </row>
    <row r="52" spans="1:20" s="36" customFormat="1">
      <c r="A52" s="103">
        <v>2009</v>
      </c>
      <c r="B52" s="122">
        <v>1.2013100000000001</v>
      </c>
      <c r="D52" s="42"/>
      <c r="E52" s="42"/>
      <c r="F52" s="42"/>
      <c r="G52" s="42"/>
      <c r="H52" s="42"/>
      <c r="I52" s="42"/>
      <c r="J52" s="42"/>
      <c r="K52" s="42"/>
      <c r="L52" s="42"/>
      <c r="M52" s="42"/>
      <c r="N52" s="42"/>
      <c r="O52" s="42"/>
      <c r="P52" s="42"/>
      <c r="Q52" s="42"/>
      <c r="R52" s="42"/>
      <c r="S52" s="42"/>
      <c r="T52" s="42"/>
    </row>
    <row r="53" spans="1:20" s="42" customFormat="1">
      <c r="A53" s="103">
        <v>2010</v>
      </c>
      <c r="B53" s="122">
        <v>1.2216009999999999</v>
      </c>
    </row>
    <row r="54" spans="1:20" s="42" customFormat="1">
      <c r="A54" s="103">
        <v>2011</v>
      </c>
      <c r="B54" s="122">
        <v>1.2399039999999999</v>
      </c>
    </row>
    <row r="55" spans="1:20" s="42" customFormat="1">
      <c r="A55" s="103">
        <v>2012</v>
      </c>
      <c r="B55" s="122">
        <v>1.244607</v>
      </c>
    </row>
    <row r="56" spans="1:20" s="42" customFormat="1">
      <c r="A56" s="206">
        <v>2013</v>
      </c>
      <c r="B56" s="169">
        <v>1.224</v>
      </c>
    </row>
    <row r="57" spans="1:20" s="42" customFormat="1">
      <c r="A57" s="205">
        <v>2014</v>
      </c>
      <c r="B57" s="169">
        <v>1.2303580000000001</v>
      </c>
    </row>
    <row r="58" spans="1:20" s="42" customFormat="1">
      <c r="A58" s="168">
        <v>2015</v>
      </c>
      <c r="B58" s="169">
        <v>1.2480039999999999</v>
      </c>
    </row>
    <row r="59" spans="1:20" s="42" customFormat="1">
      <c r="A59" s="205">
        <v>2016</v>
      </c>
      <c r="B59" s="169">
        <v>1.2451639999999999</v>
      </c>
    </row>
    <row r="60" spans="1:20" s="42" customFormat="1">
      <c r="A60" s="168">
        <v>2017</v>
      </c>
      <c r="B60" s="169">
        <v>1.252006</v>
      </c>
    </row>
    <row r="61" spans="1:20" s="42" customFormat="1">
      <c r="A61" s="170">
        <v>2018</v>
      </c>
      <c r="B61" s="207">
        <v>1.2485310000000001</v>
      </c>
      <c r="C61" s="155"/>
    </row>
    <row r="62" spans="1:20" s="42" customFormat="1"/>
    <row r="63" spans="1:20" s="42" customFormat="1">
      <c r="A63" s="5" t="s">
        <v>139</v>
      </c>
      <c r="B63" s="5"/>
    </row>
    <row r="64" spans="1:20" s="42" customFormat="1">
      <c r="A64" s="66" t="s">
        <v>138</v>
      </c>
      <c r="B64" s="58">
        <f>100*((B32/B24)^(1/8)-1)</f>
        <v>1.1683118568579509</v>
      </c>
    </row>
    <row r="65" spans="1:2" s="42" customFormat="1">
      <c r="A65" s="67" t="s">
        <v>27</v>
      </c>
      <c r="B65" s="11">
        <f>100*((B43/B32)^(1/11)-1)</f>
        <v>-0.12332651563741193</v>
      </c>
    </row>
    <row r="66" spans="1:2" s="42" customFormat="1">
      <c r="A66" s="67" t="s">
        <v>28</v>
      </c>
      <c r="B66" s="11">
        <f>100*((B51/B43)^(1/8)-1)</f>
        <v>6.9277928518007847E-2</v>
      </c>
    </row>
    <row r="67" spans="1:2" s="42" customFormat="1">
      <c r="A67" s="68" t="s">
        <v>152</v>
      </c>
      <c r="B67" s="60">
        <f>100*((B51/B24)^(1/27)-1)</f>
        <v>0.31489924966834337</v>
      </c>
    </row>
    <row r="68" spans="1:2" s="42" customFormat="1">
      <c r="A68" s="21"/>
      <c r="B68" s="21"/>
    </row>
    <row r="69" spans="1:2" s="42" customFormat="1">
      <c r="A69" s="69" t="s">
        <v>140</v>
      </c>
      <c r="B69" s="70"/>
    </row>
    <row r="70" spans="1:2" s="42" customFormat="1">
      <c r="A70" s="66" t="s">
        <v>202</v>
      </c>
      <c r="B70" s="58">
        <f>110*((B61/B24)^(1/37)-1)</f>
        <v>0.28661042769465128</v>
      </c>
    </row>
    <row r="71" spans="1:2" s="42" customFormat="1">
      <c r="A71" s="67" t="s">
        <v>200</v>
      </c>
      <c r="B71" s="11">
        <f>((B61/B43)^(1/18)-1)*100</f>
        <v>9.4105666555832634E-2</v>
      </c>
    </row>
    <row r="72" spans="1:2" s="42" customFormat="1">
      <c r="A72" s="79" t="s">
        <v>201</v>
      </c>
      <c r="B72" s="60">
        <f>((B61/B51)^(1/10)-1)*100</f>
        <v>0.11397229203953252</v>
      </c>
    </row>
    <row r="73" spans="1:2" s="42" customFormat="1">
      <c r="A73" s="99"/>
      <c r="B73" s="10"/>
    </row>
    <row r="74" spans="1:2" s="42" customFormat="1" ht="30" customHeight="1">
      <c r="A74" s="174" t="s">
        <v>108</v>
      </c>
      <c r="B74" s="174"/>
    </row>
    <row r="75" spans="1:2" s="42" customFormat="1">
      <c r="A75" s="174" t="s">
        <v>186</v>
      </c>
      <c r="B75" s="174"/>
    </row>
    <row r="76" spans="1:2" s="42" customFormat="1">
      <c r="A76" s="194" t="s">
        <v>102</v>
      </c>
      <c r="B76" s="194"/>
    </row>
    <row r="77" spans="1:2" s="42" customFormat="1">
      <c r="A77" s="25"/>
      <c r="B77" s="15"/>
    </row>
    <row r="80" spans="1:2" s="42" customFormat="1">
      <c r="A80" s="15"/>
      <c r="B80" s="15"/>
    </row>
  </sheetData>
  <mergeCells count="4">
    <mergeCell ref="A75:B75"/>
    <mergeCell ref="A74:B74"/>
    <mergeCell ref="A76:B76"/>
    <mergeCell ref="A1:B1"/>
  </mergeCells>
  <hyperlinks>
    <hyperlink ref="A76" r:id="rId1"/>
  </hyperlinks>
  <pageMargins left="0.7" right="0.7" top="0.75" bottom="0.75" header="0.3" footer="0.3"/>
  <pageSetup scale="63" orientation="portrait" r:id="rId2"/>
</worksheet>
</file>

<file path=xl/worksheets/sheet17.xml><?xml version="1.0" encoding="utf-8"?>
<worksheet xmlns="http://schemas.openxmlformats.org/spreadsheetml/2006/main" xmlns:r="http://schemas.openxmlformats.org/officeDocument/2006/relationships">
  <sheetPr codeName="Sheet21"/>
  <dimension ref="A1:I89"/>
  <sheetViews>
    <sheetView view="pageBreakPreview" zoomScaleSheetLayoutView="100" workbookViewId="0">
      <selection activeCell="G8" sqref="G8"/>
    </sheetView>
  </sheetViews>
  <sheetFormatPr defaultRowHeight="15"/>
  <cols>
    <col min="1" max="1" width="9.140625" style="15"/>
    <col min="2" max="9" width="14.28515625" style="15" customWidth="1"/>
    <col min="10" max="16384" width="9.140625" style="15"/>
  </cols>
  <sheetData>
    <row r="1" spans="1:9">
      <c r="A1" s="202" t="s">
        <v>231</v>
      </c>
      <c r="B1" s="202"/>
      <c r="C1" s="202"/>
      <c r="D1" s="202"/>
      <c r="E1" s="202"/>
      <c r="F1" s="202"/>
      <c r="G1" s="202"/>
      <c r="H1" s="202"/>
      <c r="I1" s="202"/>
    </row>
    <row r="2" spans="1:9" ht="30">
      <c r="A2" s="113" t="s">
        <v>39</v>
      </c>
      <c r="B2" s="198" t="s">
        <v>0</v>
      </c>
      <c r="C2" s="198" t="s">
        <v>2</v>
      </c>
      <c r="D2" s="198" t="s">
        <v>6</v>
      </c>
      <c r="E2" s="198" t="s">
        <v>3</v>
      </c>
      <c r="F2" s="198" t="s">
        <v>9</v>
      </c>
      <c r="G2" s="198" t="s">
        <v>11</v>
      </c>
      <c r="H2" s="198" t="s">
        <v>8</v>
      </c>
      <c r="I2" s="198" t="s">
        <v>10</v>
      </c>
    </row>
    <row r="3" spans="1:9">
      <c r="A3" s="9"/>
      <c r="B3" s="13" t="s">
        <v>17</v>
      </c>
      <c r="C3" s="13" t="s">
        <v>18</v>
      </c>
      <c r="D3" s="13" t="s">
        <v>19</v>
      </c>
      <c r="E3" s="13" t="s">
        <v>20</v>
      </c>
      <c r="F3" s="13" t="s">
        <v>21</v>
      </c>
      <c r="G3" s="13" t="s">
        <v>22</v>
      </c>
      <c r="H3" s="13" t="s">
        <v>23</v>
      </c>
      <c r="I3" s="13" t="s">
        <v>24</v>
      </c>
    </row>
    <row r="4" spans="1:9">
      <c r="A4" s="13">
        <v>1981</v>
      </c>
      <c r="B4" s="45">
        <f>'9'!N4/'13'!$B24</f>
        <v>13106.89987160041</v>
      </c>
      <c r="C4" s="45">
        <f>'9'!O4/'13'!$B24</f>
        <v>13106.89987160041</v>
      </c>
      <c r="D4" s="45">
        <f>'9'!P4/'13'!$B24</f>
        <v>12669.238190828641</v>
      </c>
      <c r="E4" s="45">
        <f>'9'!Q4/'13'!$B24</f>
        <v>12669.238190828641</v>
      </c>
      <c r="F4" s="45">
        <f>'9'!R4/'13'!$B24</f>
        <v>-2040238.0279573821</v>
      </c>
      <c r="G4" s="45">
        <f>'9'!S4/'13'!$B24</f>
        <v>11053.554943771429</v>
      </c>
      <c r="H4" s="45">
        <f>'9'!T4/'13'!$B24</f>
        <v>-2040675.6896381539</v>
      </c>
      <c r="I4" s="45">
        <f>'9'!U4/'13'!$B24</f>
        <v>10615.893262999658</v>
      </c>
    </row>
    <row r="5" spans="1:9">
      <c r="A5" s="13">
        <v>1982</v>
      </c>
      <c r="B5" s="45">
        <f>'9'!N5/'13'!$B25</f>
        <v>13314.338531627378</v>
      </c>
      <c r="C5" s="45">
        <f>'9'!O5/'13'!$B25</f>
        <v>13314.338531627378</v>
      </c>
      <c r="D5" s="45">
        <f>'9'!P5/'13'!$B25</f>
        <v>12854.48182566532</v>
      </c>
      <c r="E5" s="45">
        <f>'9'!Q5/'13'!$B25</f>
        <v>12854.48182566532</v>
      </c>
      <c r="F5" s="45">
        <f>'9'!R5/'13'!$B25</f>
        <v>-2208417.4636602439</v>
      </c>
      <c r="G5" s="45">
        <f>'9'!S5/'13'!$B25</f>
        <v>11092.606729435511</v>
      </c>
      <c r="H5" s="45">
        <f>'9'!T5/'13'!$B25</f>
        <v>-2208877.3203662061</v>
      </c>
      <c r="I5" s="45">
        <f>'9'!U5/'13'!$B25</f>
        <v>10632.750023473449</v>
      </c>
    </row>
    <row r="6" spans="1:9">
      <c r="A6" s="13">
        <v>1983</v>
      </c>
      <c r="B6" s="45">
        <f>'9'!N6/'13'!$B26</f>
        <v>14056.855802801621</v>
      </c>
      <c r="C6" s="45">
        <f>'9'!O6/'13'!$B26</f>
        <v>14056.855802801621</v>
      </c>
      <c r="D6" s="45">
        <f>'9'!P6/'13'!$B26</f>
        <v>13644.936954868883</v>
      </c>
      <c r="E6" s="45">
        <f>'9'!Q6/'13'!$B26</f>
        <v>13644.936954868883</v>
      </c>
      <c r="F6" s="45">
        <f>'9'!R6/'13'!$B26</f>
        <v>-2247993.5291108228</v>
      </c>
      <c r="G6" s="45">
        <f>'9'!S6/'13'!$B26</f>
        <v>11794.805417887994</v>
      </c>
      <c r="H6" s="45">
        <f>'9'!T6/'13'!$B26</f>
        <v>-2248405.4479587553</v>
      </c>
      <c r="I6" s="45">
        <f>'9'!U6/'13'!$B26</f>
        <v>11382.886569955257</v>
      </c>
    </row>
    <row r="7" spans="1:9">
      <c r="A7" s="13">
        <v>1984</v>
      </c>
      <c r="B7" s="45">
        <f>'9'!N7/'13'!$B27</f>
        <v>15280.418283875784</v>
      </c>
      <c r="C7" s="45">
        <f>'9'!O7/'13'!$B27</f>
        <v>15280.418283875784</v>
      </c>
      <c r="D7" s="45">
        <f>'9'!P7/'13'!$B27</f>
        <v>14807.531708256554</v>
      </c>
      <c r="E7" s="45">
        <f>'9'!Q7/'13'!$B27</f>
        <v>14807.531708256554</v>
      </c>
      <c r="F7" s="45">
        <f>'9'!R7/'13'!$B27</f>
        <v>-2364929.6785693844</v>
      </c>
      <c r="G7" s="45">
        <f>'9'!S7/'13'!$B27</f>
        <v>12900.208187022523</v>
      </c>
      <c r="H7" s="45">
        <f>'9'!T7/'13'!$B27</f>
        <v>-2365402.5651450036</v>
      </c>
      <c r="I7" s="45">
        <f>'9'!U7/'13'!$B27</f>
        <v>12427.321611403293</v>
      </c>
    </row>
    <row r="8" spans="1:9">
      <c r="A8" s="13">
        <v>1985</v>
      </c>
      <c r="B8" s="45">
        <f>'9'!N8/'13'!$B28</f>
        <v>16360.811134952919</v>
      </c>
      <c r="C8" s="45">
        <f>'9'!O8/'13'!$B28</f>
        <v>16360.811134952919</v>
      </c>
      <c r="D8" s="45">
        <f>'9'!P8/'13'!$B28</f>
        <v>15860.779304697424</v>
      </c>
      <c r="E8" s="45">
        <f>'9'!Q8/'13'!$B28</f>
        <v>15860.779304697424</v>
      </c>
      <c r="F8" s="45">
        <f>'9'!R8/'13'!$B28</f>
        <v>-2493090.9091643933</v>
      </c>
      <c r="G8" s="45">
        <f>'9'!S8/'13'!$B28</f>
        <v>13851.359414653569</v>
      </c>
      <c r="H8" s="45">
        <f>'9'!T8/'13'!$B28</f>
        <v>-2493590.9409946487</v>
      </c>
      <c r="I8" s="45">
        <f>'9'!U8/'13'!$B28</f>
        <v>13351.327584398079</v>
      </c>
    </row>
    <row r="9" spans="1:9">
      <c r="A9" s="13">
        <v>1986</v>
      </c>
      <c r="B9" s="45">
        <f>'9'!N9/'13'!$B29</f>
        <v>16888.763651620051</v>
      </c>
      <c r="C9" s="45">
        <f>'9'!O9/'13'!$B29</f>
        <v>16888.763651620051</v>
      </c>
      <c r="D9" s="45">
        <f>'9'!P9/'13'!$B29</f>
        <v>16320.387172480056</v>
      </c>
      <c r="E9" s="45">
        <f>'9'!Q9/'13'!$B29</f>
        <v>16320.387172480056</v>
      </c>
      <c r="F9" s="45">
        <f>'9'!R9/'13'!$B29</f>
        <v>-2586841.8668791596</v>
      </c>
      <c r="G9" s="45">
        <f>'9'!S9/'13'!$B29</f>
        <v>14285.03302108927</v>
      </c>
      <c r="H9" s="45">
        <f>'9'!T9/'13'!$B29</f>
        <v>-2587410.2433582996</v>
      </c>
      <c r="I9" s="45">
        <f>'9'!U9/'13'!$B29</f>
        <v>13716.656541949278</v>
      </c>
    </row>
    <row r="10" spans="1:9">
      <c r="A10" s="13">
        <v>1987</v>
      </c>
      <c r="B10" s="45">
        <f>'9'!N10/'13'!$B30</f>
        <v>17790.815153458043</v>
      </c>
      <c r="C10" s="45">
        <f>'9'!O10/'13'!$B30</f>
        <v>17790.815153458043</v>
      </c>
      <c r="D10" s="45">
        <f>'9'!P10/'13'!$B30</f>
        <v>17242.370831160864</v>
      </c>
      <c r="E10" s="45">
        <f>'9'!Q10/'13'!$B30</f>
        <v>17242.370831160864</v>
      </c>
      <c r="F10" s="45">
        <f>'9'!R10/'13'!$B30</f>
        <v>-2640979.2852187296</v>
      </c>
      <c r="G10" s="45">
        <f>'9'!S10/'13'!$B30</f>
        <v>15132.045053085858</v>
      </c>
      <c r="H10" s="45">
        <f>'9'!T10/'13'!$B30</f>
        <v>-2641527.7295410265</v>
      </c>
      <c r="I10" s="45">
        <f>'9'!U10/'13'!$B30</f>
        <v>14583.600730788672</v>
      </c>
    </row>
    <row r="11" spans="1:9">
      <c r="A11" s="13">
        <v>1988</v>
      </c>
      <c r="B11" s="45">
        <f>'9'!N11/'13'!$B31</f>
        <v>18975.808394161842</v>
      </c>
      <c r="C11" s="45">
        <f>'9'!O11/'13'!$B31</f>
        <v>18975.808394161842</v>
      </c>
      <c r="D11" s="45">
        <f>'9'!P11/'13'!$B31</f>
        <v>18361.478762156741</v>
      </c>
      <c r="E11" s="45">
        <f>'9'!Q11/'13'!$B31</f>
        <v>18361.478762156741</v>
      </c>
      <c r="F11" s="45">
        <f>'9'!R11/'13'!$B31</f>
        <v>-2768830.5699455929</v>
      </c>
      <c r="G11" s="45">
        <f>'9'!S11/'13'!$B31</f>
        <v>16188.002015822089</v>
      </c>
      <c r="H11" s="45">
        <f>'9'!T11/'13'!$B31</f>
        <v>-2769444.8995775981</v>
      </c>
      <c r="I11" s="45">
        <f>'9'!U11/'13'!$B31</f>
        <v>15573.672383816987</v>
      </c>
    </row>
    <row r="12" spans="1:9">
      <c r="A12" s="13">
        <v>1989</v>
      </c>
      <c r="B12" s="45">
        <f>'9'!N12/'13'!$B32</f>
        <v>19830.838029975646</v>
      </c>
      <c r="C12" s="45">
        <f>'9'!O12/'13'!$B32</f>
        <v>19830.838029975646</v>
      </c>
      <c r="D12" s="45">
        <f>'9'!P12/'13'!$B32</f>
        <v>19148.979211793445</v>
      </c>
      <c r="E12" s="45">
        <f>'9'!Q12/'13'!$B32</f>
        <v>19148.979211793445</v>
      </c>
      <c r="F12" s="45">
        <f>'9'!R12/'13'!$B32</f>
        <v>-2926474.884673567</v>
      </c>
      <c r="G12" s="45">
        <f>'9'!S12/'13'!$B32</f>
        <v>16884.532307272104</v>
      </c>
      <c r="H12" s="45">
        <f>'9'!T12/'13'!$B32</f>
        <v>-2927156.7434917493</v>
      </c>
      <c r="I12" s="45">
        <f>'9'!U12/'13'!$B32</f>
        <v>16202.673489089902</v>
      </c>
    </row>
    <row r="13" spans="1:9">
      <c r="A13" s="13">
        <v>1990</v>
      </c>
      <c r="B13" s="45">
        <f>'9'!N13/'13'!$B33</f>
        <v>20289.489445247531</v>
      </c>
      <c r="C13" s="45">
        <f>'9'!O13/'13'!$B33</f>
        <v>20289.489445247531</v>
      </c>
      <c r="D13" s="45">
        <f>'9'!P13/'13'!$B33</f>
        <v>19559.404249037154</v>
      </c>
      <c r="E13" s="45">
        <f>'9'!Q13/'13'!$B33</f>
        <v>19559.404249037154</v>
      </c>
      <c r="F13" s="45">
        <f>'9'!R13/'13'!$B33</f>
        <v>-3088421.7945543411</v>
      </c>
      <c r="G13" s="45">
        <f>'9'!S13/'13'!$B33</f>
        <v>17180.778161247938</v>
      </c>
      <c r="H13" s="45">
        <f>'9'!T13/'13'!$B33</f>
        <v>-3089151.8797505512</v>
      </c>
      <c r="I13" s="45">
        <f>'9'!U13/'13'!$B33</f>
        <v>16450.692965037568</v>
      </c>
    </row>
    <row r="14" spans="1:9">
      <c r="A14" s="13">
        <v>1991</v>
      </c>
      <c r="B14" s="45">
        <f>'9'!N14/'13'!$B34</f>
        <v>20269.409302533059</v>
      </c>
      <c r="C14" s="45">
        <f>'9'!O14/'13'!$B34</f>
        <v>20269.409302533059</v>
      </c>
      <c r="D14" s="45">
        <f>'9'!P14/'13'!$B34</f>
        <v>19597.662579433585</v>
      </c>
      <c r="E14" s="45">
        <f>'9'!Q14/'13'!$B34</f>
        <v>19597.662579433585</v>
      </c>
      <c r="F14" s="45">
        <f>'9'!R14/'13'!$B34</f>
        <v>-3085934.5764034414</v>
      </c>
      <c r="G14" s="45">
        <f>'9'!S14/'13'!$B34</f>
        <v>17163.205316827083</v>
      </c>
      <c r="H14" s="45">
        <f>'9'!T14/'13'!$B34</f>
        <v>-3086606.323126541</v>
      </c>
      <c r="I14" s="45">
        <f>'9'!U14/'13'!$B34</f>
        <v>16491.45859372761</v>
      </c>
    </row>
    <row r="15" spans="1:9">
      <c r="A15" s="13">
        <v>1992</v>
      </c>
      <c r="B15" s="45">
        <f>'9'!N15/'13'!$B35</f>
        <v>20660.790777887662</v>
      </c>
      <c r="C15" s="45">
        <f>'9'!O15/'13'!$B35</f>
        <v>20660.790777887662</v>
      </c>
      <c r="D15" s="45">
        <f>'9'!P15/'13'!$B35</f>
        <v>19920.143546808311</v>
      </c>
      <c r="E15" s="45">
        <f>'9'!Q15/'13'!$B35</f>
        <v>19920.143546808311</v>
      </c>
      <c r="F15" s="45">
        <f>'9'!R15/'13'!$B35</f>
        <v>-3179502.365734369</v>
      </c>
      <c r="G15" s="45">
        <f>'9'!S15/'13'!$B35</f>
        <v>17460.627621375403</v>
      </c>
      <c r="H15" s="45">
        <f>'9'!T15/'13'!$B35</f>
        <v>-3180243.0129654487</v>
      </c>
      <c r="I15" s="45">
        <f>'9'!U15/'13'!$B35</f>
        <v>16719.980390296056</v>
      </c>
    </row>
    <row r="16" spans="1:9">
      <c r="A16" s="13">
        <v>1993</v>
      </c>
      <c r="B16" s="45">
        <f>'9'!N16/'13'!$B36</f>
        <v>21461.477111289507</v>
      </c>
      <c r="C16" s="45">
        <f>'9'!O16/'13'!$B36</f>
        <v>21461.477111289507</v>
      </c>
      <c r="D16" s="45">
        <f>'9'!P16/'13'!$B36</f>
        <v>20732.012414214107</v>
      </c>
      <c r="E16" s="45">
        <f>'9'!Q16/'13'!$B36</f>
        <v>20732.012414214107</v>
      </c>
      <c r="F16" s="45">
        <f>'9'!R16/'13'!$B36</f>
        <v>-3258730.7663324922</v>
      </c>
      <c r="G16" s="45">
        <f>'9'!S16/'13'!$B36</f>
        <v>18181.284867845723</v>
      </c>
      <c r="H16" s="45">
        <f>'9'!T16/'13'!$B36</f>
        <v>-3259460.2310295673</v>
      </c>
      <c r="I16" s="45">
        <f>'9'!U16/'13'!$B36</f>
        <v>17451.820170770327</v>
      </c>
    </row>
    <row r="17" spans="1:9">
      <c r="A17" s="13">
        <v>1994</v>
      </c>
      <c r="B17" s="45">
        <f>'9'!N17/'13'!$B37</f>
        <v>22657.468620758198</v>
      </c>
      <c r="C17" s="45">
        <f>'9'!O17/'13'!$B37</f>
        <v>22657.468620758198</v>
      </c>
      <c r="D17" s="45">
        <f>'9'!P17/'13'!$B37</f>
        <v>21845.934494753663</v>
      </c>
      <c r="E17" s="45">
        <f>'9'!Q17/'13'!$B37</f>
        <v>21845.934494753663</v>
      </c>
      <c r="F17" s="45">
        <f>'9'!R17/'13'!$B37</f>
        <v>-3418795.3816652088</v>
      </c>
      <c r="G17" s="45">
        <f>'9'!S17/'13'!$B37</f>
        <v>19216.01577047223</v>
      </c>
      <c r="H17" s="45">
        <f>'9'!T17/'13'!$B37</f>
        <v>-3419606.9157912135</v>
      </c>
      <c r="I17" s="45">
        <f>'9'!U17/'13'!$B37</f>
        <v>18404.481644467694</v>
      </c>
    </row>
    <row r="18" spans="1:9">
      <c r="A18" s="13">
        <v>1995</v>
      </c>
      <c r="B18" s="45">
        <f>'9'!N18/'13'!$B38</f>
        <v>23507.396528778943</v>
      </c>
      <c r="C18" s="45">
        <f>'9'!O18/'13'!$B38</f>
        <v>23507.396528778943</v>
      </c>
      <c r="D18" s="45">
        <f>'9'!P18/'13'!$B38</f>
        <v>22697.578401475886</v>
      </c>
      <c r="E18" s="45">
        <f>'9'!Q18/'13'!$B38</f>
        <v>22697.578401475886</v>
      </c>
      <c r="F18" s="45">
        <f>'9'!R18/'13'!$B38</f>
        <v>-3522499.8410891169</v>
      </c>
      <c r="G18" s="45">
        <f>'9'!S18/'13'!$B38</f>
        <v>19961.389291161049</v>
      </c>
      <c r="H18" s="45">
        <f>'9'!T18/'13'!$B38</f>
        <v>-3523309.6592164203</v>
      </c>
      <c r="I18" s="45">
        <f>'9'!U18/'13'!$B38</f>
        <v>19151.571163857985</v>
      </c>
    </row>
    <row r="19" spans="1:9">
      <c r="A19" s="13">
        <v>1996</v>
      </c>
      <c r="B19" s="45">
        <f>'9'!N19/'13'!$B39</f>
        <v>24073.083845184192</v>
      </c>
      <c r="C19" s="45">
        <f>'9'!O19/'13'!$B39</f>
        <v>24073.083845184192</v>
      </c>
      <c r="D19" s="45">
        <f>'9'!P19/'13'!$B39</f>
        <v>23273.228227585758</v>
      </c>
      <c r="E19" s="45">
        <f>'9'!Q19/'13'!$B39</f>
        <v>23273.228227585758</v>
      </c>
      <c r="F19" s="45">
        <f>'9'!R19/'13'!$B39</f>
        <v>-3640905.2255791747</v>
      </c>
      <c r="G19" s="45">
        <f>'9'!S19/'13'!$B39</f>
        <v>20408.105535759834</v>
      </c>
      <c r="H19" s="45">
        <f>'9'!T19/'13'!$B39</f>
        <v>-3641705.0811967724</v>
      </c>
      <c r="I19" s="45">
        <f>'9'!U19/'13'!$B39</f>
        <v>19608.249918161397</v>
      </c>
    </row>
    <row r="20" spans="1:9">
      <c r="A20" s="13">
        <v>1997</v>
      </c>
      <c r="B20" s="45">
        <f>'9'!N20/'13'!$B40</f>
        <v>25283.410630029095</v>
      </c>
      <c r="C20" s="45">
        <f>'9'!O20/'13'!$B40</f>
        <v>25283.410630029095</v>
      </c>
      <c r="D20" s="45">
        <f>'9'!P20/'13'!$B40</f>
        <v>24499.089818233922</v>
      </c>
      <c r="E20" s="45">
        <f>'9'!Q20/'13'!$B40</f>
        <v>24499.089818233922</v>
      </c>
      <c r="F20" s="45">
        <f>'9'!R20/'13'!$B40</f>
        <v>-3833648.5840471359</v>
      </c>
      <c r="G20" s="45">
        <f>'9'!S20/'13'!$B40</f>
        <v>21424.478635351927</v>
      </c>
      <c r="H20" s="45">
        <f>'9'!T20/'13'!$B40</f>
        <v>-3834432.9048589314</v>
      </c>
      <c r="I20" s="45">
        <f>'9'!U20/'13'!$B40</f>
        <v>20640.15782355675</v>
      </c>
    </row>
    <row r="21" spans="1:9">
      <c r="A21" s="13">
        <v>1998</v>
      </c>
      <c r="B21" s="45">
        <f>'9'!N21/'13'!$B41</f>
        <v>26338.268118354601</v>
      </c>
      <c r="C21" s="45">
        <f>'9'!O21/'13'!$B41</f>
        <v>26338.268118354601</v>
      </c>
      <c r="D21" s="45">
        <f>'9'!P21/'13'!$B41</f>
        <v>25452.098429363083</v>
      </c>
      <c r="E21" s="45">
        <f>'9'!Q21/'13'!$B41</f>
        <v>25452.098429363083</v>
      </c>
      <c r="F21" s="45">
        <f>'9'!R21/'13'!$B41</f>
        <v>-4116802.5647457587</v>
      </c>
      <c r="G21" s="45">
        <f>'9'!S21/'13'!$B41</f>
        <v>22195.127285490489</v>
      </c>
      <c r="H21" s="45">
        <f>'9'!T21/'13'!$B41</f>
        <v>-4117688.7344347504</v>
      </c>
      <c r="I21" s="45">
        <f>'9'!U21/'13'!$B41</f>
        <v>21308.957596498967</v>
      </c>
    </row>
    <row r="22" spans="1:9">
      <c r="A22" s="13">
        <v>1999</v>
      </c>
      <c r="B22" s="45">
        <f>'9'!N22/'13'!$B42</f>
        <v>27872.657754888362</v>
      </c>
      <c r="C22" s="45">
        <f>'9'!O22/'13'!$B42</f>
        <v>27872.657754888362</v>
      </c>
      <c r="D22" s="45">
        <f>'9'!P22/'13'!$B42</f>
        <v>26934.502402016402</v>
      </c>
      <c r="E22" s="45">
        <f>'9'!Q22/'13'!$B42</f>
        <v>26934.502402016402</v>
      </c>
      <c r="F22" s="45">
        <f>'9'!R22/'13'!$B42</f>
        <v>-4256393.1651983391</v>
      </c>
      <c r="G22" s="45">
        <f>'9'!S22/'13'!$B42</f>
        <v>23588.391931935137</v>
      </c>
      <c r="H22" s="45">
        <f>'9'!T22/'13'!$B42</f>
        <v>-4257331.320551211</v>
      </c>
      <c r="I22" s="45">
        <f>'9'!U22/'13'!$B42</f>
        <v>22650.236579063174</v>
      </c>
    </row>
    <row r="23" spans="1:9">
      <c r="A23" s="13">
        <v>2000</v>
      </c>
      <c r="B23" s="45">
        <f>'9'!N23/'13'!$B43</f>
        <v>29399.394599561765</v>
      </c>
      <c r="C23" s="45">
        <f>'9'!O23/'13'!$B43</f>
        <v>29399.394599561765</v>
      </c>
      <c r="D23" s="45">
        <f>'9'!P23/'13'!$B43</f>
        <v>28628.007331184683</v>
      </c>
      <c r="E23" s="45">
        <f>'9'!Q23/'13'!$B43</f>
        <v>28628.007331184683</v>
      </c>
      <c r="F23" s="45">
        <f>'9'!R23/'13'!$B43</f>
        <v>-4359834.2987388894</v>
      </c>
      <c r="G23" s="45">
        <f>'9'!S23/'13'!$B43</f>
        <v>25010.160906223311</v>
      </c>
      <c r="H23" s="45">
        <f>'9'!T23/'13'!$B43</f>
        <v>-4360605.6860072659</v>
      </c>
      <c r="I23" s="45">
        <f>'9'!U23/'13'!$B43</f>
        <v>24238.773637846229</v>
      </c>
    </row>
    <row r="24" spans="1:9">
      <c r="A24" s="13">
        <v>2001</v>
      </c>
      <c r="B24" s="45">
        <f>'9'!N24/'13'!$B44</f>
        <v>30262.316334617935</v>
      </c>
      <c r="C24" s="45">
        <f>'9'!O24/'13'!$B44</f>
        <v>30262.316334617935</v>
      </c>
      <c r="D24" s="45">
        <f>'9'!P24/'13'!$B44</f>
        <v>29410.210131899683</v>
      </c>
      <c r="E24" s="45">
        <f>'9'!Q24/'13'!$B44</f>
        <v>29410.210131899683</v>
      </c>
      <c r="F24" s="45">
        <f>'9'!R24/'13'!$B44</f>
        <v>-4612311.1623659134</v>
      </c>
      <c r="G24" s="45">
        <f>'9'!S24/'13'!$B44</f>
        <v>25619.742855917411</v>
      </c>
      <c r="H24" s="45">
        <f>'9'!T24/'13'!$B44</f>
        <v>-4613163.2685686331</v>
      </c>
      <c r="I24" s="45">
        <f>'9'!U24/'13'!$B44</f>
        <v>24767.636653199152</v>
      </c>
    </row>
    <row r="25" spans="1:9">
      <c r="A25" s="13">
        <v>2002</v>
      </c>
      <c r="B25" s="45">
        <f>'9'!N25/'13'!$B45</f>
        <v>31013.909851447988</v>
      </c>
      <c r="C25" s="45">
        <f>'9'!O25/'13'!$B45</f>
        <v>31013.909851447988</v>
      </c>
      <c r="D25" s="45">
        <f>'9'!P25/'13'!$B45</f>
        <v>30229.161309197687</v>
      </c>
      <c r="E25" s="45">
        <f>'9'!Q25/'13'!$B45</f>
        <v>30229.161309197687</v>
      </c>
      <c r="F25" s="45">
        <f>'9'!R25/'13'!$B45</f>
        <v>-4736247.7450068062</v>
      </c>
      <c r="G25" s="45">
        <f>'9'!S25/'13'!$B45</f>
        <v>26246.648196589729</v>
      </c>
      <c r="H25" s="45">
        <f>'9'!T25/'13'!$B45</f>
        <v>-4737032.4935490564</v>
      </c>
      <c r="I25" s="45">
        <f>'9'!U25/'13'!$B45</f>
        <v>25461.899654339431</v>
      </c>
    </row>
    <row r="26" spans="1:9">
      <c r="A26" s="13">
        <v>2003</v>
      </c>
      <c r="B26" s="45">
        <f>'9'!N26/'13'!$B46</f>
        <v>32380.663615182566</v>
      </c>
      <c r="C26" s="45">
        <f>'9'!O26/'13'!$B46</f>
        <v>32380.663615182566</v>
      </c>
      <c r="D26" s="45">
        <f>'9'!P26/'13'!$B46</f>
        <v>31584.165856031861</v>
      </c>
      <c r="E26" s="45">
        <f>'9'!Q26/'13'!$B46</f>
        <v>31584.165856031861</v>
      </c>
      <c r="F26" s="45">
        <f>'9'!R26/'13'!$B46</f>
        <v>-4773548.0783209642</v>
      </c>
      <c r="G26" s="45">
        <f>'9'!S26/'13'!$B46</f>
        <v>27574.73487324642</v>
      </c>
      <c r="H26" s="45">
        <f>'9'!T26/'13'!$B46</f>
        <v>-4774344.5760801146</v>
      </c>
      <c r="I26" s="45">
        <f>'9'!U26/'13'!$B46</f>
        <v>26778.237114095711</v>
      </c>
    </row>
    <row r="27" spans="1:9">
      <c r="A27" s="13">
        <v>2004</v>
      </c>
      <c r="B27" s="45">
        <f>'9'!N27/'13'!$B47</f>
        <v>33954.258398707381</v>
      </c>
      <c r="C27" s="45">
        <f>'9'!O27/'13'!$B47</f>
        <v>33954.258398707381</v>
      </c>
      <c r="D27" s="45">
        <f>'9'!P27/'13'!$B47</f>
        <v>33222.412724642636</v>
      </c>
      <c r="E27" s="45">
        <f>'9'!Q27/'13'!$B47</f>
        <v>33222.412724642636</v>
      </c>
      <c r="F27" s="45">
        <f>'9'!R27/'13'!$B47</f>
        <v>-4882376.0264621535</v>
      </c>
      <c r="G27" s="45">
        <f>'9'!S27/'13'!$B47</f>
        <v>29037.928113846527</v>
      </c>
      <c r="H27" s="45">
        <f>'9'!T27/'13'!$B47</f>
        <v>-4883107.8721362185</v>
      </c>
      <c r="I27" s="45">
        <f>'9'!U27/'13'!$B47</f>
        <v>28306.082439781778</v>
      </c>
    </row>
    <row r="28" spans="1:9">
      <c r="A28" s="13">
        <v>2005</v>
      </c>
      <c r="B28" s="45">
        <f>'9'!N28/'13'!$B48</f>
        <v>36371.937406511133</v>
      </c>
      <c r="C28" s="45">
        <f>'9'!O28/'13'!$B48</f>
        <v>36371.937406511133</v>
      </c>
      <c r="D28" s="45">
        <f>'9'!P28/'13'!$B48</f>
        <v>35628.237400746344</v>
      </c>
      <c r="E28" s="45">
        <f>'9'!Q28/'13'!$B48</f>
        <v>35628.237400746344</v>
      </c>
      <c r="F28" s="45">
        <f>'9'!R28/'13'!$B48</f>
        <v>-5190610.7328967722</v>
      </c>
      <c r="G28" s="45">
        <f>'9'!S28/'13'!$B48</f>
        <v>31144.954736207852</v>
      </c>
      <c r="H28" s="45">
        <f>'9'!T28/'13'!$B48</f>
        <v>-5191354.4329025373</v>
      </c>
      <c r="I28" s="45">
        <f>'9'!U28/'13'!$B48</f>
        <v>30401.254730443066</v>
      </c>
    </row>
    <row r="29" spans="1:9">
      <c r="A29" s="13">
        <v>2006</v>
      </c>
      <c r="B29" s="45">
        <f>'9'!N29/'13'!$B49</f>
        <v>38159.164007276187</v>
      </c>
      <c r="C29" s="45">
        <f>'9'!O29/'13'!$B49</f>
        <v>38159.164007276187</v>
      </c>
      <c r="D29" s="45">
        <f>'9'!P29/'13'!$B49</f>
        <v>37551.91046384674</v>
      </c>
      <c r="E29" s="45">
        <f>'9'!Q29/'13'!$B49</f>
        <v>37551.91046384674</v>
      </c>
      <c r="F29" s="45">
        <f>'9'!R29/'13'!$B49</f>
        <v>-5553948.3535380196</v>
      </c>
      <c r="G29" s="45">
        <f>'9'!S29/'13'!$B49</f>
        <v>32567.056489730887</v>
      </c>
      <c r="H29" s="45">
        <f>'9'!T29/'13'!$B49</f>
        <v>-5554555.6070814487</v>
      </c>
      <c r="I29" s="45">
        <f>'9'!U29/'13'!$B49</f>
        <v>31959.802946301439</v>
      </c>
    </row>
    <row r="30" spans="1:9">
      <c r="A30" s="13">
        <v>2007</v>
      </c>
      <c r="B30" s="45">
        <f>'9'!N30/'13'!$B50</f>
        <v>39591.843111158392</v>
      </c>
      <c r="C30" s="45">
        <f>'9'!O30/'13'!$B50</f>
        <v>39591.843111158392</v>
      </c>
      <c r="D30" s="45">
        <f>'9'!P30/'13'!$B50</f>
        <v>39009.055814151543</v>
      </c>
      <c r="E30" s="45">
        <f>'9'!Q30/'13'!$B50</f>
        <v>39009.055814151543</v>
      </c>
      <c r="F30" s="45">
        <f>'9'!R30/'13'!$B50</f>
        <v>-5871471.924424476</v>
      </c>
      <c r="G30" s="45">
        <f>'9'!S30/'13'!$B50</f>
        <v>33680.779343622766</v>
      </c>
      <c r="H30" s="45">
        <f>'9'!T30/'13'!$B50</f>
        <v>-5872054.7117214836</v>
      </c>
      <c r="I30" s="45">
        <f>'9'!U30/'13'!$B50</f>
        <v>33097.992046615909</v>
      </c>
    </row>
    <row r="31" spans="1:9">
      <c r="A31" s="13">
        <v>2008</v>
      </c>
      <c r="B31" s="45">
        <f>'9'!N31/'13'!$B51</f>
        <v>40434.368150661139</v>
      </c>
      <c r="C31" s="45">
        <f>'9'!O31/'13'!$B51</f>
        <v>40434.368150661139</v>
      </c>
      <c r="D31" s="45">
        <f>'9'!P31/'13'!$B51</f>
        <v>39840.288382619059</v>
      </c>
      <c r="E31" s="45">
        <f>'9'!Q31/'13'!$B51</f>
        <v>39840.288382619059</v>
      </c>
      <c r="F31" s="45">
        <f>'9'!R31/'13'!$B51</f>
        <v>-6222073.1480488544</v>
      </c>
      <c r="G31" s="45">
        <f>'9'!S31/'13'!$B51</f>
        <v>34171.860634461635</v>
      </c>
      <c r="H31" s="45">
        <f>'9'!T31/'13'!$B51</f>
        <v>-6222667.2278168965</v>
      </c>
      <c r="I31" s="45">
        <f>'9'!U31/'13'!$B51</f>
        <v>33577.780866419547</v>
      </c>
    </row>
    <row r="32" spans="1:9">
      <c r="A32" s="13">
        <v>2009</v>
      </c>
      <c r="B32" s="45">
        <f>'9'!N32/'13'!$B52</f>
        <v>38951.019601550004</v>
      </c>
      <c r="C32" s="45">
        <f>'9'!O32/'13'!$B52</f>
        <v>38951.019601550004</v>
      </c>
      <c r="D32" s="45">
        <f>'9'!P32/'13'!$B52</f>
        <v>38280.341829453471</v>
      </c>
      <c r="E32" s="45">
        <f>'9'!Q32/'13'!$B52</f>
        <v>38280.341829453471</v>
      </c>
      <c r="F32" s="45">
        <f>'9'!R32/'13'!$B52</f>
        <v>-6611532.0081190057</v>
      </c>
      <c r="G32" s="45">
        <f>'9'!S32/'13'!$B52</f>
        <v>32300.536573829457</v>
      </c>
      <c r="H32" s="45">
        <f>'9'!T32/'13'!$B52</f>
        <v>-6612202.6858911021</v>
      </c>
      <c r="I32" s="45">
        <f>'9'!U32/'13'!$B52</f>
        <v>31629.85880173292</v>
      </c>
    </row>
    <row r="33" spans="1:9">
      <c r="A33" s="13">
        <v>2010</v>
      </c>
      <c r="B33" s="45">
        <f>'9'!N33/'13'!$B53</f>
        <v>40161.644779356444</v>
      </c>
      <c r="C33" s="45">
        <f>'9'!O33/'13'!$B53</f>
        <v>40161.644779356444</v>
      </c>
      <c r="D33" s="45">
        <f>'9'!P33/'13'!$B53</f>
        <v>39367.884075549977</v>
      </c>
      <c r="E33" s="45">
        <f>'9'!Q33/'13'!$B53</f>
        <v>39367.884075549977</v>
      </c>
      <c r="F33" s="45">
        <f>'9'!R33/'13'!$B53</f>
        <v>-6446677.0369567992</v>
      </c>
      <c r="G33" s="45">
        <f>'9'!S33/'13'!$B53</f>
        <v>33674.806097620276</v>
      </c>
      <c r="H33" s="45">
        <f>'9'!T33/'13'!$B53</f>
        <v>-6447470.7976606069</v>
      </c>
      <c r="I33" s="45">
        <f>'9'!U33/'13'!$B53</f>
        <v>32881.045393813823</v>
      </c>
    </row>
    <row r="34" spans="1:9">
      <c r="A34" s="13">
        <v>2011</v>
      </c>
      <c r="B34" s="45">
        <f>'9'!N34/'13'!$B54</f>
        <v>41716.366441905127</v>
      </c>
      <c r="C34" s="45">
        <f>'9'!O34/'13'!$B54</f>
        <v>41716.366441905127</v>
      </c>
      <c r="D34" s="45">
        <f>'9'!P34/'13'!$B54</f>
        <v>40928.416000967118</v>
      </c>
      <c r="E34" s="45">
        <f>'9'!Q34/'13'!$B54</f>
        <v>40928.416000967118</v>
      </c>
      <c r="F34" s="45">
        <f>'9'!R34/'13'!$B54</f>
        <v>-6543780.0819480047</v>
      </c>
      <c r="G34" s="45">
        <f>'9'!S34/'13'!$B54</f>
        <v>35130.869993515225</v>
      </c>
      <c r="H34" s="45">
        <f>'9'!T34/'13'!$B54</f>
        <v>-6544568.0323889432</v>
      </c>
      <c r="I34" s="45">
        <f>'9'!U34/'13'!$B54</f>
        <v>34342.919552577216</v>
      </c>
    </row>
    <row r="35" spans="1:9">
      <c r="A35" s="13">
        <v>2012</v>
      </c>
      <c r="B35" s="45">
        <f>'9'!N35/'13'!$B55</f>
        <v>42351.14141185645</v>
      </c>
      <c r="C35" s="45">
        <f>'9'!O35/'13'!$B55</f>
        <v>42351.14141185645</v>
      </c>
      <c r="D35" s="45">
        <f>'9'!P35/'13'!$B55</f>
        <v>41599.659798518034</v>
      </c>
      <c r="E35" s="45">
        <f>'9'!Q35/'13'!$B55</f>
        <v>41599.659798518034</v>
      </c>
      <c r="F35" s="45">
        <f>'9'!R35/'13'!$B55</f>
        <v>-6774524.8790600346</v>
      </c>
      <c r="G35" s="45">
        <f>'9'!S35/'13'!$B55</f>
        <v>35534.265391384572</v>
      </c>
      <c r="H35" s="45">
        <f>'9'!T35/'13'!$B55</f>
        <v>-6775276.3606733717</v>
      </c>
      <c r="I35" s="45">
        <f>'9'!U35/'13'!$B55</f>
        <v>34782.783778046141</v>
      </c>
    </row>
    <row r="36" spans="1:9" s="42" customFormat="1">
      <c r="A36" s="13">
        <v>2013</v>
      </c>
      <c r="B36" s="45">
        <f>'9'!N36/'13'!$B56</f>
        <v>44360.382686768353</v>
      </c>
      <c r="C36" s="45">
        <f>'9'!O36/'13'!$B56</f>
        <v>44360.382686768353</v>
      </c>
      <c r="D36" s="45">
        <f>'9'!P36/'13'!$B56</f>
        <v>43684.755911065171</v>
      </c>
      <c r="E36" s="45">
        <f>'9'!Q36/'13'!$B56</f>
        <v>43684.755911065171</v>
      </c>
      <c r="F36" s="45">
        <f>'9'!R36/'13'!$B56</f>
        <v>-7160957.1186823715</v>
      </c>
      <c r="G36" s="45">
        <f>'9'!S36/'13'!$B56</f>
        <v>37155.065185399224</v>
      </c>
      <c r="H36" s="45">
        <f>'9'!T36/'13'!$B56</f>
        <v>-7161632.7454580748</v>
      </c>
      <c r="I36" s="45">
        <f>'9'!U36/'13'!$B56</f>
        <v>36479.438409696042</v>
      </c>
    </row>
    <row r="37" spans="1:9" s="42" customFormat="1">
      <c r="A37" s="13">
        <v>2014</v>
      </c>
      <c r="B37" s="45">
        <f>'9'!N37/'13'!$B57</f>
        <v>45811.837540666158</v>
      </c>
      <c r="C37" s="45">
        <f>'9'!O37/'13'!$B57</f>
        <v>45811.837540666158</v>
      </c>
      <c r="D37" s="45">
        <f>'9'!P37/'13'!$B57</f>
        <v>45071.57461759897</v>
      </c>
      <c r="E37" s="45">
        <f>'9'!Q37/'13'!$B57</f>
        <v>45071.57461759897</v>
      </c>
      <c r="F37" s="45">
        <f>'9'!R37/'13'!$B57</f>
        <v>-7376520.9944340121</v>
      </c>
      <c r="G37" s="45">
        <f>'9'!S37/'13'!$B57</f>
        <v>38389.5047086915</v>
      </c>
      <c r="H37" s="45">
        <f>'9'!T37/'13'!$B57</f>
        <v>-7377261.2573570795</v>
      </c>
      <c r="I37" s="45">
        <f>'9'!U37/'13'!$B57</f>
        <v>37649.241785624283</v>
      </c>
    </row>
    <row r="38" spans="1:9" s="42" customFormat="1">
      <c r="A38" s="13">
        <v>2015</v>
      </c>
      <c r="B38" s="45">
        <f>'9'!N38/'13'!$B58</f>
        <v>44702.478484173545</v>
      </c>
      <c r="C38" s="45">
        <f>'9'!O38/'13'!$B58</f>
        <v>44702.478484173545</v>
      </c>
      <c r="D38" s="45">
        <f>'9'!P38/'13'!$B58</f>
        <v>44017.670773945094</v>
      </c>
      <c r="E38" s="45">
        <f>'9'!Q38/'13'!$B58</f>
        <v>44017.670773945094</v>
      </c>
      <c r="F38" s="45">
        <f>'9'!R38/'13'!$B58</f>
        <v>-7643393.7365406249</v>
      </c>
      <c r="G38" s="45">
        <f>'9'!S38/'13'!$B58</f>
        <v>37014.382269148766</v>
      </c>
      <c r="H38" s="45">
        <f>'9'!T38/'13'!$B58</f>
        <v>-7644078.5442508534</v>
      </c>
      <c r="I38" s="45">
        <f>'9'!U38/'13'!$B58</f>
        <v>36329.5745589203</v>
      </c>
    </row>
    <row r="39" spans="1:9" s="42" customFormat="1">
      <c r="A39" s="13">
        <v>2016</v>
      </c>
      <c r="B39" s="45">
        <f>'9'!N39/'13'!$B59</f>
        <v>45181.713481707091</v>
      </c>
      <c r="C39" s="45">
        <f>'9'!O39/'13'!$B59</f>
        <v>45181.713481707091</v>
      </c>
      <c r="D39" s="45">
        <f>'9'!P39/'13'!$B59</f>
        <v>44637.743582189236</v>
      </c>
      <c r="E39" s="45">
        <f>'9'!Q39/'13'!$B59</f>
        <v>44637.743582189236</v>
      </c>
      <c r="F39" s="45">
        <f>'9'!R39/'13'!$B59</f>
        <v>-7795835.0788395274</v>
      </c>
      <c r="G39" s="45">
        <f>'9'!S39/'13'!$B59</f>
        <v>37340.696689385855</v>
      </c>
      <c r="H39" s="45">
        <f>'9'!T39/'13'!$B59</f>
        <v>-7796379.0487390449</v>
      </c>
      <c r="I39" s="45">
        <f>'9'!U39/'13'!$B59</f>
        <v>36796.726789868007</v>
      </c>
    </row>
    <row r="40" spans="1:9" s="42" customFormat="1">
      <c r="A40" s="13">
        <v>2017</v>
      </c>
      <c r="B40" s="45">
        <f>'9'!N40/'13'!$B60</f>
        <v>46875.812908774213</v>
      </c>
      <c r="C40" s="45">
        <f>'9'!O40/'13'!$B60</f>
        <v>46875.812908774213</v>
      </c>
      <c r="D40" s="45">
        <f>'9'!P40/'13'!$B60</f>
        <v>46369.735511701285</v>
      </c>
      <c r="E40" s="45">
        <f>'9'!Q40/'13'!$B60</f>
        <v>46369.735511701285</v>
      </c>
      <c r="F40" s="45">
        <f>'9'!R40/'13'!$B60</f>
        <v>-7706330.6003880957</v>
      </c>
      <c r="G40" s="45">
        <f>'9'!S40/'13'!$B60</f>
        <v>39122.606495477354</v>
      </c>
      <c r="H40" s="45">
        <f>'9'!T40/'13'!$B60</f>
        <v>-7706836.6777851703</v>
      </c>
      <c r="I40" s="45">
        <f>'9'!U40/'13'!$B60</f>
        <v>38616.529098404419</v>
      </c>
    </row>
    <row r="41" spans="1:9" s="42" customFormat="1">
      <c r="A41" s="13">
        <v>2018</v>
      </c>
      <c r="B41" s="45">
        <f>'9'!N41/'13'!$B61</f>
        <v>48043.415297377105</v>
      </c>
      <c r="C41" s="45">
        <f>'9'!O41/'13'!$B61</f>
        <v>48043.415297377105</v>
      </c>
      <c r="D41" s="45">
        <f>'9'!P41/'13'!$B61</f>
        <v>47425.406468569061</v>
      </c>
      <c r="E41" s="45">
        <f>'9'!Q41/'13'!$B61</f>
        <v>47425.406468569061</v>
      </c>
      <c r="F41" s="45">
        <f>'9'!R41/'13'!$B61</f>
        <v>-7902609.3155900547</v>
      </c>
      <c r="G41" s="45">
        <f>'9'!S41/'13'!$B61</f>
        <v>40092.762566489684</v>
      </c>
      <c r="H41" s="45">
        <f>'9'!T41/'13'!$B61</f>
        <v>-7903227.3244188642</v>
      </c>
      <c r="I41" s="45">
        <f>'9'!U41/'13'!$B61</f>
        <v>39474.753737681625</v>
      </c>
    </row>
    <row r="42" spans="1:9" s="42" customFormat="1">
      <c r="A42" s="13"/>
      <c r="B42" s="45"/>
      <c r="C42" s="45"/>
      <c r="D42" s="45"/>
      <c r="E42" s="45"/>
      <c r="F42" s="45"/>
      <c r="G42" s="45"/>
      <c r="H42" s="45"/>
      <c r="I42" s="45"/>
    </row>
    <row r="43" spans="1:9">
      <c r="A43" s="5" t="s">
        <v>139</v>
      </c>
      <c r="B43" s="5"/>
      <c r="C43" s="41"/>
      <c r="D43" s="41"/>
      <c r="E43" s="41"/>
      <c r="F43" s="41"/>
      <c r="G43" s="41"/>
      <c r="H43" s="41"/>
      <c r="I43" s="45"/>
    </row>
    <row r="44" spans="1:9">
      <c r="A44" s="66" t="s">
        <v>138</v>
      </c>
      <c r="B44" s="57">
        <f>100*((B12/B4)^(1/8)-1)</f>
        <v>5.3125516898081537</v>
      </c>
      <c r="C44" s="57">
        <f t="shared" ref="C44:I44" si="0">100*((C12/C4)^(1/8)-1)</f>
        <v>5.3125516898081537</v>
      </c>
      <c r="D44" s="57">
        <f t="shared" si="0"/>
        <v>5.2990349115620283</v>
      </c>
      <c r="E44" s="57">
        <f t="shared" si="0"/>
        <v>5.2990349115620283</v>
      </c>
      <c r="F44" s="57">
        <f t="shared" si="0"/>
        <v>4.6123589731475567</v>
      </c>
      <c r="G44" s="57">
        <f t="shared" si="0"/>
        <v>5.4382969735136344</v>
      </c>
      <c r="H44" s="57">
        <f t="shared" si="0"/>
        <v>4.6126005952410232</v>
      </c>
      <c r="I44" s="58">
        <f t="shared" si="0"/>
        <v>5.4274657486569566</v>
      </c>
    </row>
    <row r="45" spans="1:9">
      <c r="A45" s="67" t="s">
        <v>27</v>
      </c>
      <c r="B45" s="10">
        <f>100*((B23/B12)^(1/11)-1)</f>
        <v>3.6442494511386592</v>
      </c>
      <c r="C45" s="10">
        <f t="shared" ref="C45:I45" si="1">100*((C23/C12)^(1/11)-1)</f>
        <v>3.6442494511386592</v>
      </c>
      <c r="D45" s="10">
        <f t="shared" si="1"/>
        <v>3.7234283337695961</v>
      </c>
      <c r="E45" s="10">
        <f t="shared" si="1"/>
        <v>3.7234283337695961</v>
      </c>
      <c r="F45" s="10">
        <f t="shared" si="1"/>
        <v>3.6904246178512068</v>
      </c>
      <c r="G45" s="10">
        <f t="shared" si="1"/>
        <v>3.6362252835882458</v>
      </c>
      <c r="H45" s="10">
        <f t="shared" si="1"/>
        <v>3.6898962246498357</v>
      </c>
      <c r="I45" s="11">
        <f t="shared" si="1"/>
        <v>3.7294746616693297</v>
      </c>
    </row>
    <row r="46" spans="1:9">
      <c r="A46" s="67" t="s">
        <v>28</v>
      </c>
      <c r="B46" s="10">
        <f>100*((B31/B23)^(1/8)-1)</f>
        <v>4.0642441587505962</v>
      </c>
      <c r="C46" s="10">
        <f t="shared" ref="C46:I46" si="2">100*((C31/C23)^(1/8)-1)</f>
        <v>4.0642441587505962</v>
      </c>
      <c r="D46" s="10">
        <f t="shared" si="2"/>
        <v>4.2176843524943886</v>
      </c>
      <c r="E46" s="10">
        <f t="shared" si="2"/>
        <v>4.2176843524943886</v>
      </c>
      <c r="F46" s="10">
        <f t="shared" si="2"/>
        <v>4.546173329728509</v>
      </c>
      <c r="G46" s="10">
        <f t="shared" si="2"/>
        <v>3.9786124305002168</v>
      </c>
      <c r="H46" s="10">
        <f t="shared" si="2"/>
        <v>4.5451090560937546</v>
      </c>
      <c r="I46" s="11">
        <f t="shared" si="2"/>
        <v>4.1580087049061687</v>
      </c>
    </row>
    <row r="47" spans="1:9" s="42" customFormat="1">
      <c r="A47" s="68" t="s">
        <v>152</v>
      </c>
      <c r="B47" s="59">
        <f>100*((B31/B4)^(1/27)-1)</f>
        <v>4.2606421676097073</v>
      </c>
      <c r="C47" s="59">
        <f t="shared" ref="C47:I47" si="3">100*((C31/C4)^(1/27)-1)</f>
        <v>4.2606421676097073</v>
      </c>
      <c r="D47" s="59">
        <f t="shared" si="3"/>
        <v>4.334656739824716</v>
      </c>
      <c r="E47" s="59">
        <f t="shared" si="3"/>
        <v>4.334656739824716</v>
      </c>
      <c r="F47" s="59">
        <f t="shared" si="3"/>
        <v>4.2162263741813977</v>
      </c>
      <c r="G47" s="59">
        <f t="shared" si="3"/>
        <v>4.268786807731284</v>
      </c>
      <c r="H47" s="59">
        <f t="shared" si="3"/>
        <v>4.2157669855535262</v>
      </c>
      <c r="I47" s="60">
        <f t="shared" si="3"/>
        <v>4.3571124230534775</v>
      </c>
    </row>
    <row r="48" spans="1:9">
      <c r="A48" s="21"/>
      <c r="B48" s="21"/>
      <c r="C48" s="41"/>
      <c r="D48" s="41"/>
      <c r="E48" s="41"/>
      <c r="F48" s="41"/>
      <c r="G48" s="41"/>
      <c r="H48" s="41"/>
      <c r="I48" s="41"/>
    </row>
    <row r="49" spans="1:9">
      <c r="A49" s="69" t="s">
        <v>140</v>
      </c>
      <c r="B49" s="70"/>
      <c r="C49" s="41"/>
      <c r="D49" s="41"/>
      <c r="E49" s="41"/>
      <c r="F49" s="41"/>
      <c r="G49" s="41"/>
      <c r="H49" s="41"/>
      <c r="I49" s="41"/>
    </row>
    <row r="50" spans="1:9" s="42" customFormat="1">
      <c r="A50" s="66" t="s">
        <v>202</v>
      </c>
      <c r="B50" s="72">
        <f>((B41/B4)^(1/37)-1)*100</f>
        <v>3.5730730052738968</v>
      </c>
      <c r="C50" s="72">
        <f t="shared" ref="C50:I50" si="4">((C41/C4)^(1/37)-1)*100</f>
        <v>3.5730730052738968</v>
      </c>
      <c r="D50" s="72">
        <f t="shared" si="4"/>
        <v>3.6319162325793464</v>
      </c>
      <c r="E50" s="72">
        <f t="shared" si="4"/>
        <v>3.6319162325793464</v>
      </c>
      <c r="F50" s="72">
        <f t="shared" si="4"/>
        <v>3.7275966563676599</v>
      </c>
      <c r="G50" s="72">
        <f t="shared" si="4"/>
        <v>3.5436217241739953</v>
      </c>
      <c r="H50" s="72">
        <f t="shared" si="4"/>
        <v>3.7272145696655601</v>
      </c>
      <c r="I50" s="72">
        <f t="shared" si="4"/>
        <v>3.6132301645197762</v>
      </c>
    </row>
    <row r="51" spans="1:9">
      <c r="A51" s="67" t="s">
        <v>200</v>
      </c>
      <c r="B51" s="73">
        <f>((B41/B23)^(1/18)-1)*100</f>
        <v>2.7660701703700719</v>
      </c>
      <c r="C51" s="73">
        <f t="shared" ref="C51:I51" si="5">((C41/C23)^(1/18)-1)*100</f>
        <v>2.7660701703700719</v>
      </c>
      <c r="D51" s="73">
        <f t="shared" si="5"/>
        <v>2.8439824716464557</v>
      </c>
      <c r="E51" s="73">
        <f t="shared" si="5"/>
        <v>2.8439824716464557</v>
      </c>
      <c r="F51" s="73">
        <f t="shared" si="5"/>
        <v>3.3594118457016764</v>
      </c>
      <c r="G51" s="73">
        <f t="shared" si="5"/>
        <v>2.6564125192111154</v>
      </c>
      <c r="H51" s="73">
        <f t="shared" si="5"/>
        <v>3.3588450088450239</v>
      </c>
      <c r="I51" s="73">
        <f t="shared" si="5"/>
        <v>2.7465279150987287</v>
      </c>
    </row>
    <row r="52" spans="1:9">
      <c r="A52" s="151" t="s">
        <v>201</v>
      </c>
      <c r="B52" s="74">
        <f>((B41/B31)^(1/10)-1)*100</f>
        <v>1.7392006652903857</v>
      </c>
      <c r="C52" s="74">
        <f t="shared" ref="C52:I52" si="6">((C41/C31)^(1/10)-1)*100</f>
        <v>1.7392006652903857</v>
      </c>
      <c r="D52" s="74">
        <f t="shared" si="6"/>
        <v>1.7580694205030722</v>
      </c>
      <c r="E52" s="74">
        <f t="shared" si="6"/>
        <v>1.7580694205030722</v>
      </c>
      <c r="F52" s="74">
        <f t="shared" si="6"/>
        <v>2.4197095662266355</v>
      </c>
      <c r="G52" s="74">
        <f t="shared" si="6"/>
        <v>1.6107683916837479</v>
      </c>
      <c r="H52" s="74">
        <f t="shared" si="6"/>
        <v>2.419532638817623</v>
      </c>
      <c r="I52" s="74">
        <f t="shared" si="6"/>
        <v>1.6311275462030927</v>
      </c>
    </row>
    <row r="53" spans="1:9">
      <c r="A53" s="21"/>
      <c r="B53" s="45"/>
      <c r="C53" s="41"/>
      <c r="D53" s="41"/>
      <c r="E53" s="41"/>
      <c r="F53" s="41"/>
      <c r="G53" s="41"/>
      <c r="H53" s="41"/>
      <c r="I53" s="45"/>
    </row>
    <row r="54" spans="1:9" ht="15" customHeight="1">
      <c r="A54" s="174" t="s">
        <v>162</v>
      </c>
      <c r="B54" s="174"/>
      <c r="C54" s="174"/>
      <c r="D54" s="174"/>
      <c r="E54" s="174"/>
      <c r="F54" s="174"/>
      <c r="G54" s="174"/>
      <c r="H54" s="174"/>
      <c r="I54" s="174"/>
    </row>
    <row r="55" spans="1:9" ht="15" customHeight="1">
      <c r="A55" s="174" t="s">
        <v>118</v>
      </c>
      <c r="B55" s="174"/>
      <c r="C55" s="174"/>
      <c r="D55" s="174"/>
      <c r="E55" s="174"/>
      <c r="F55" s="174"/>
      <c r="G55" s="174"/>
      <c r="H55" s="174"/>
      <c r="I55" s="174"/>
    </row>
    <row r="61" spans="1:9" s="42" customFormat="1">
      <c r="A61" s="15"/>
      <c r="B61" s="15"/>
      <c r="C61" s="15"/>
      <c r="D61" s="15"/>
      <c r="E61" s="15"/>
      <c r="F61" s="15"/>
      <c r="G61" s="15"/>
      <c r="H61" s="15"/>
      <c r="I61" s="15"/>
    </row>
    <row r="62" spans="1:9" s="42" customFormat="1">
      <c r="A62" s="15"/>
      <c r="B62" s="15"/>
      <c r="C62" s="15"/>
      <c r="D62" s="15"/>
      <c r="E62" s="15"/>
      <c r="F62" s="15"/>
      <c r="G62" s="15"/>
      <c r="H62" s="15"/>
      <c r="I62" s="15"/>
    </row>
    <row r="63" spans="1:9" s="42" customFormat="1">
      <c r="A63" s="15"/>
      <c r="B63" s="15"/>
      <c r="C63" s="15"/>
      <c r="D63" s="15"/>
      <c r="E63" s="15"/>
      <c r="F63" s="15"/>
      <c r="G63" s="15"/>
      <c r="H63" s="15"/>
      <c r="I63" s="15"/>
    </row>
    <row r="64" spans="1:9" s="42" customFormat="1" ht="15.75" customHeight="1">
      <c r="A64" s="15"/>
      <c r="B64" s="15"/>
      <c r="C64" s="15"/>
      <c r="D64" s="15"/>
      <c r="E64" s="15"/>
      <c r="F64" s="15"/>
      <c r="G64" s="15"/>
      <c r="H64" s="15"/>
      <c r="I64" s="15"/>
    </row>
    <row r="65" spans="1:9" s="42" customFormat="1">
      <c r="A65" s="15"/>
      <c r="B65" s="15"/>
      <c r="C65" s="15"/>
      <c r="D65" s="15"/>
      <c r="E65" s="15"/>
      <c r="F65" s="15"/>
      <c r="G65" s="15"/>
      <c r="H65" s="15"/>
      <c r="I65" s="15"/>
    </row>
    <row r="66" spans="1:9" s="42" customFormat="1">
      <c r="A66" s="15"/>
      <c r="B66" s="15"/>
      <c r="C66" s="15"/>
      <c r="D66" s="15"/>
      <c r="E66" s="15"/>
      <c r="F66" s="15"/>
      <c r="G66" s="15"/>
      <c r="H66" s="15"/>
      <c r="I66" s="15"/>
    </row>
    <row r="67" spans="1:9" s="42" customFormat="1">
      <c r="A67" s="15"/>
      <c r="B67" s="15"/>
      <c r="C67" s="15"/>
      <c r="D67" s="15"/>
      <c r="E67" s="15"/>
      <c r="F67" s="15"/>
      <c r="G67" s="15"/>
      <c r="H67" s="15"/>
      <c r="I67" s="15"/>
    </row>
    <row r="68" spans="1:9" s="42" customFormat="1">
      <c r="A68" s="15"/>
      <c r="B68" s="15"/>
      <c r="C68" s="15"/>
      <c r="D68" s="15"/>
      <c r="E68" s="15"/>
      <c r="F68" s="15"/>
      <c r="G68" s="15"/>
      <c r="H68" s="15"/>
      <c r="I68" s="15"/>
    </row>
    <row r="69" spans="1:9" s="42" customFormat="1">
      <c r="A69" s="15"/>
      <c r="B69" s="15"/>
      <c r="C69" s="15"/>
      <c r="D69" s="15"/>
      <c r="E69" s="15"/>
      <c r="F69" s="15"/>
      <c r="G69" s="15"/>
      <c r="H69" s="15"/>
      <c r="I69" s="15"/>
    </row>
    <row r="70" spans="1:9" s="42" customFormat="1">
      <c r="A70" s="15"/>
      <c r="B70" s="15"/>
      <c r="C70" s="15"/>
      <c r="D70" s="15"/>
      <c r="E70" s="15"/>
      <c r="F70" s="15"/>
      <c r="G70" s="15"/>
      <c r="H70" s="15"/>
      <c r="I70" s="15"/>
    </row>
    <row r="71" spans="1:9" s="42" customFormat="1">
      <c r="A71" s="15"/>
      <c r="B71" s="15"/>
      <c r="C71" s="15"/>
      <c r="D71" s="15"/>
      <c r="E71" s="15"/>
      <c r="F71" s="15"/>
      <c r="G71" s="15"/>
      <c r="H71" s="15"/>
      <c r="I71" s="15"/>
    </row>
    <row r="72" spans="1:9" s="42" customFormat="1">
      <c r="A72" s="15"/>
      <c r="B72" s="15"/>
      <c r="C72" s="15"/>
      <c r="D72" s="15"/>
      <c r="E72" s="15"/>
      <c r="F72" s="15"/>
      <c r="G72" s="15"/>
      <c r="H72" s="15"/>
      <c r="I72" s="15"/>
    </row>
    <row r="73" spans="1:9" s="42" customFormat="1">
      <c r="A73" s="15"/>
      <c r="B73" s="15"/>
      <c r="C73" s="15"/>
      <c r="D73" s="15"/>
      <c r="E73" s="15"/>
      <c r="F73" s="15"/>
      <c r="G73" s="15"/>
      <c r="H73" s="15"/>
      <c r="I73" s="15"/>
    </row>
    <row r="74" spans="1:9" s="42" customFormat="1">
      <c r="A74" s="15"/>
      <c r="B74" s="15"/>
      <c r="C74" s="15"/>
      <c r="D74" s="15"/>
      <c r="E74" s="15"/>
      <c r="F74" s="15"/>
      <c r="G74" s="15"/>
      <c r="H74" s="15"/>
      <c r="I74" s="15"/>
    </row>
    <row r="75" spans="1:9" s="42" customFormat="1">
      <c r="A75" s="15"/>
      <c r="B75" s="15"/>
      <c r="C75" s="15"/>
      <c r="D75" s="15"/>
      <c r="E75" s="15"/>
      <c r="F75" s="15"/>
      <c r="G75" s="15"/>
      <c r="H75" s="15"/>
      <c r="I75" s="15"/>
    </row>
    <row r="76" spans="1:9" s="42" customFormat="1">
      <c r="A76" s="15"/>
      <c r="B76" s="15"/>
      <c r="C76" s="15"/>
      <c r="D76" s="15"/>
      <c r="E76" s="15"/>
      <c r="F76" s="15"/>
      <c r="G76" s="15"/>
      <c r="H76" s="15"/>
      <c r="I76" s="15"/>
    </row>
    <row r="77" spans="1:9" s="42" customFormat="1">
      <c r="A77" s="15"/>
      <c r="B77" s="15"/>
      <c r="C77" s="15"/>
      <c r="D77" s="15"/>
      <c r="E77" s="15"/>
      <c r="F77" s="15"/>
      <c r="G77" s="15"/>
      <c r="H77" s="15"/>
      <c r="I77" s="15"/>
    </row>
    <row r="78" spans="1:9" s="42" customFormat="1">
      <c r="A78" s="15"/>
      <c r="B78" s="15"/>
      <c r="C78" s="15"/>
      <c r="D78" s="15"/>
      <c r="E78" s="15"/>
      <c r="F78" s="15"/>
      <c r="G78" s="15"/>
      <c r="H78" s="15"/>
      <c r="I78" s="15"/>
    </row>
    <row r="79" spans="1:9" s="42" customFormat="1">
      <c r="A79" s="15"/>
      <c r="B79" s="15"/>
      <c r="C79" s="15"/>
      <c r="D79" s="15"/>
      <c r="E79" s="15"/>
      <c r="F79" s="15"/>
      <c r="G79" s="15"/>
      <c r="H79" s="15"/>
      <c r="I79" s="15"/>
    </row>
    <row r="80" spans="1:9" hidden="1"/>
    <row r="81" spans="1:9" hidden="1"/>
    <row r="82" spans="1:9" hidden="1"/>
    <row r="83" spans="1:9" hidden="1"/>
    <row r="84" spans="1:9" hidden="1"/>
    <row r="85" spans="1:9" hidden="1"/>
    <row r="86" spans="1:9" s="42" customFormat="1" hidden="1">
      <c r="A86" s="15"/>
      <c r="B86" s="15"/>
      <c r="C86" s="15"/>
      <c r="D86" s="15"/>
      <c r="E86" s="15"/>
      <c r="F86" s="15"/>
      <c r="G86" s="15"/>
      <c r="H86" s="15"/>
      <c r="I86" s="15"/>
    </row>
    <row r="87" spans="1:9" s="42" customFormat="1" hidden="1">
      <c r="A87" s="15"/>
      <c r="B87" s="15"/>
      <c r="C87" s="15"/>
      <c r="D87" s="15"/>
      <c r="E87" s="15"/>
      <c r="F87" s="15"/>
      <c r="G87" s="15"/>
      <c r="H87" s="15"/>
      <c r="I87" s="15"/>
    </row>
    <row r="88" spans="1:9" hidden="1"/>
    <row r="89" spans="1:9" hidden="1"/>
  </sheetData>
  <mergeCells count="3">
    <mergeCell ref="A1:I1"/>
    <mergeCell ref="A54:I54"/>
    <mergeCell ref="A55:I55"/>
  </mergeCells>
  <pageMargins left="0.7" right="0.7" top="0.75" bottom="0.75" header="0.3" footer="0.3"/>
  <pageSetup scale="64" orientation="portrait" r:id="rId1"/>
  <ignoredErrors>
    <ignoredError sqref="A47" twoDigitTextYear="1"/>
  </ignoredErrors>
</worksheet>
</file>

<file path=xl/worksheets/sheet18.xml><?xml version="1.0" encoding="utf-8"?>
<worksheet xmlns="http://schemas.openxmlformats.org/spreadsheetml/2006/main" xmlns:r="http://schemas.openxmlformats.org/officeDocument/2006/relationships">
  <sheetPr codeName="Sheet22"/>
  <dimension ref="A1:Q86"/>
  <sheetViews>
    <sheetView view="pageBreakPreview" zoomScale="85" zoomScaleSheetLayoutView="85" workbookViewId="0">
      <selection activeCell="G21" sqref="G21"/>
    </sheetView>
  </sheetViews>
  <sheetFormatPr defaultRowHeight="15"/>
  <cols>
    <col min="1" max="1" width="9.140625" style="15"/>
    <col min="2" max="8" width="14.28515625" style="15" customWidth="1"/>
    <col min="9" max="9" width="16.5703125" style="15" customWidth="1"/>
    <col min="10" max="15" width="9.140625" style="15" hidden="1" customWidth="1"/>
    <col min="16" max="16384" width="9.140625" style="15"/>
  </cols>
  <sheetData>
    <row r="1" spans="1:14">
      <c r="A1" s="181" t="s">
        <v>230</v>
      </c>
      <c r="B1" s="181"/>
      <c r="C1" s="181"/>
      <c r="D1" s="181"/>
      <c r="E1" s="181"/>
      <c r="F1" s="181"/>
      <c r="G1" s="181"/>
      <c r="H1" s="181"/>
      <c r="I1" s="181"/>
    </row>
    <row r="2" spans="1:14" ht="30">
      <c r="A2" s="113" t="s">
        <v>39</v>
      </c>
      <c r="B2" s="198" t="s">
        <v>0</v>
      </c>
      <c r="C2" s="198" t="s">
        <v>2</v>
      </c>
      <c r="D2" s="198" t="s">
        <v>6</v>
      </c>
      <c r="E2" s="198" t="s">
        <v>3</v>
      </c>
      <c r="F2" s="198" t="s">
        <v>9</v>
      </c>
      <c r="G2" s="198" t="s">
        <v>11</v>
      </c>
      <c r="H2" s="198" t="s">
        <v>8</v>
      </c>
      <c r="I2" s="198" t="s">
        <v>10</v>
      </c>
    </row>
    <row r="3" spans="1:14">
      <c r="A3" s="9"/>
      <c r="B3" s="13" t="s">
        <v>17</v>
      </c>
      <c r="C3" s="13" t="s">
        <v>18</v>
      </c>
      <c r="D3" s="13" t="s">
        <v>19</v>
      </c>
      <c r="E3" s="13" t="s">
        <v>20</v>
      </c>
      <c r="F3" s="13" t="s">
        <v>21</v>
      </c>
      <c r="G3" s="13" t="s">
        <v>22</v>
      </c>
      <c r="H3" s="13" t="s">
        <v>23</v>
      </c>
      <c r="I3" s="13" t="s">
        <v>24</v>
      </c>
      <c r="K3" s="8" t="str">
        <f>B3</f>
        <v>GDP</v>
      </c>
      <c r="L3" s="8" t="str">
        <f>D3</f>
        <v>GNP</v>
      </c>
      <c r="M3" s="8" t="str">
        <f>F3</f>
        <v>NDP</v>
      </c>
      <c r="N3" s="8" t="str">
        <f>H3</f>
        <v>NNP</v>
      </c>
    </row>
    <row r="4" spans="1:14">
      <c r="A4" s="13">
        <v>1981</v>
      </c>
      <c r="B4" s="52">
        <f>100*'14'!B4/'9'!C16</f>
        <v>94.003486924448609</v>
      </c>
      <c r="C4" s="52">
        <f>100*'14'!C4/'9'!D16</f>
        <v>95.130698190819416</v>
      </c>
      <c r="D4" s="52">
        <f>100*'14'!D4/'9'!E16</f>
        <v>89.939078327040548</v>
      </c>
      <c r="E4" s="52">
        <f>100*'14'!E4/'9'!F16</f>
        <v>91.009280046101182</v>
      </c>
      <c r="F4" s="52">
        <f>100*'14'!F4/'9'!G16</f>
        <v>-17253.881474168011</v>
      </c>
      <c r="G4" s="52">
        <f>100*'14'!G4/'9'!H16</f>
        <v>94.805759984598552</v>
      </c>
      <c r="H4" s="52">
        <f>100*'14'!H4/'9'!I16</f>
        <v>-17051.32175763042</v>
      </c>
      <c r="I4" s="52">
        <f>100*'14'!I4/'9'!J16</f>
        <v>84.177625319268628</v>
      </c>
      <c r="J4" s="7">
        <v>1961</v>
      </c>
      <c r="K4" s="20" t="e">
        <f>AVERAGE(#REF!)</f>
        <v>#REF!</v>
      </c>
      <c r="L4" s="20" t="e">
        <f>AVERAGE(#REF!)</f>
        <v>#REF!</v>
      </c>
      <c r="M4" s="20" t="e">
        <f>AVERAGE(#REF!)</f>
        <v>#REF!</v>
      </c>
      <c r="N4" s="20" t="e">
        <f>AVERAGE(#REF!)</f>
        <v>#REF!</v>
      </c>
    </row>
    <row r="5" spans="1:14">
      <c r="A5" s="13">
        <v>1982</v>
      </c>
      <c r="B5" s="52">
        <f>100*'14'!B5/'9'!C17</f>
        <v>92.464533319500148</v>
      </c>
      <c r="C5" s="52">
        <f>100*'14'!C5/'9'!D17</f>
        <v>92.708517695275759</v>
      </c>
      <c r="D5" s="52">
        <f>100*'14'!D5/'9'!E17</f>
        <v>88.307015962853853</v>
      </c>
      <c r="E5" s="52">
        <f>100*'14'!E5/'9'!F17</f>
        <v>88.540133493277239</v>
      </c>
      <c r="F5" s="52">
        <f>100*'14'!F5/'9'!G17</f>
        <v>-18271.13747243318</v>
      </c>
      <c r="G5" s="52">
        <f>100*'14'!G5/'9'!H17</f>
        <v>92.062292691067015</v>
      </c>
      <c r="H5" s="52">
        <f>100*'14'!H5/'9'!I17</f>
        <v>-18040.343037343919</v>
      </c>
      <c r="I5" s="52">
        <f>100*'14'!I5/'9'!J17</f>
        <v>81.534720633720482</v>
      </c>
      <c r="J5" s="7">
        <v>1962</v>
      </c>
      <c r="K5" s="20" t="e">
        <f>AVERAGE(#REF!)</f>
        <v>#REF!</v>
      </c>
      <c r="L5" s="20" t="e">
        <f>AVERAGE(#REF!)</f>
        <v>#REF!</v>
      </c>
      <c r="M5" s="20" t="e">
        <f>AVERAGE(#REF!)</f>
        <v>#REF!</v>
      </c>
      <c r="N5" s="20" t="e">
        <f>AVERAGE(#REF!)</f>
        <v>#REF!</v>
      </c>
    </row>
    <row r="6" spans="1:14">
      <c r="A6" s="13">
        <v>1983</v>
      </c>
      <c r="B6" s="52">
        <f>100*'14'!B6/'9'!C18</f>
        <v>90.643511030212238</v>
      </c>
      <c r="C6" s="52">
        <f>100*'14'!C6/'9'!D18</f>
        <v>92.085353801624578</v>
      </c>
      <c r="D6" s="52">
        <f>100*'14'!D6/'9'!E18</f>
        <v>87.09811804214786</v>
      </c>
      <c r="E6" s="52">
        <f>100*'14'!E6/'9'!F18</f>
        <v>88.469343463153407</v>
      </c>
      <c r="F6" s="52">
        <f>100*'14'!F6/'9'!G18</f>
        <v>-17151.105934008152</v>
      </c>
      <c r="G6" s="52">
        <f>100*'14'!G6/'9'!H18</f>
        <v>91.687249560124314</v>
      </c>
      <c r="H6" s="52">
        <f>100*'14'!H6/'9'!I18</f>
        <v>-16949.512428390506</v>
      </c>
      <c r="I6" s="52">
        <f>100*'14'!I6/'9'!J18</f>
        <v>82.61741803250095</v>
      </c>
      <c r="J6" s="7">
        <v>1963</v>
      </c>
      <c r="K6" s="20" t="e">
        <f>AVERAGE(#REF!)</f>
        <v>#REF!</v>
      </c>
      <c r="L6" s="20" t="e">
        <f>AVERAGE(#REF!)</f>
        <v>#REF!</v>
      </c>
      <c r="M6" s="20" t="e">
        <f>AVERAGE(#REF!)</f>
        <v>#REF!</v>
      </c>
      <c r="N6" s="20" t="e">
        <f>AVERAGE(#REF!)</f>
        <v>#REF!</v>
      </c>
    </row>
    <row r="7" spans="1:14">
      <c r="A7" s="13">
        <v>1984</v>
      </c>
      <c r="B7" s="52">
        <f>100*'14'!B7/'9'!C19</f>
        <v>89.464018223660915</v>
      </c>
      <c r="C7" s="52">
        <f>100*'14'!C7/'9'!D19</f>
        <v>90.395375370333639</v>
      </c>
      <c r="D7" s="52">
        <f>100*'14'!D7/'9'!E19</f>
        <v>85.922866310945281</v>
      </c>
      <c r="E7" s="52">
        <f>100*'14'!E7/'9'!F19</f>
        <v>86.809306119128038</v>
      </c>
      <c r="F7" s="52">
        <f>100*'14'!F7/'9'!G19</f>
        <v>-16255.38457884773</v>
      </c>
      <c r="G7" s="52">
        <f>100*'14'!G7/'9'!H19</f>
        <v>89.755468982899771</v>
      </c>
      <c r="H7" s="52">
        <f>100*'14'!H7/'9'!I19</f>
        <v>-16088.821003737243</v>
      </c>
      <c r="I7" s="52">
        <f>100*'14'!I7/'9'!J19</f>
        <v>81.678879667641709</v>
      </c>
      <c r="J7" s="7">
        <v>1964</v>
      </c>
      <c r="K7" s="20" t="e">
        <f>AVERAGE(#REF!)</f>
        <v>#REF!</v>
      </c>
      <c r="L7" s="20" t="e">
        <f>AVERAGE(#REF!)</f>
        <v>#REF!</v>
      </c>
      <c r="M7" s="20" t="e">
        <f>AVERAGE(#REF!)</f>
        <v>#REF!</v>
      </c>
      <c r="N7" s="20" t="e">
        <f>AVERAGE(#REF!)</f>
        <v>#REF!</v>
      </c>
    </row>
    <row r="8" spans="1:14">
      <c r="A8" s="13">
        <v>1985</v>
      </c>
      <c r="B8" s="52">
        <f>100*'14'!B8/'9'!C20</f>
        <v>89.932049332866569</v>
      </c>
      <c r="C8" s="52">
        <f>100*'14'!C8/'9'!D20</f>
        <v>91.071758128995768</v>
      </c>
      <c r="D8" s="52">
        <f>100*'14'!D8/'9'!E20</f>
        <v>86.678070454509609</v>
      </c>
      <c r="E8" s="52">
        <f>100*'14'!E8/'9'!F20</f>
        <v>87.768057094873981</v>
      </c>
      <c r="F8" s="52">
        <f>100*'14'!F8/'9'!G20</f>
        <v>-16075.94734457561</v>
      </c>
      <c r="G8" s="52">
        <f>100*'14'!G8/'9'!H20</f>
        <v>90.644579063583507</v>
      </c>
      <c r="H8" s="52">
        <f>100*'14'!H8/'9'!I20</f>
        <v>-15969.507571367534</v>
      </c>
      <c r="I8" s="52">
        <f>100*'14'!I8/'9'!J20</f>
        <v>83.434777992046534</v>
      </c>
      <c r="J8" s="7">
        <v>1965</v>
      </c>
      <c r="K8" s="20" t="e">
        <f>AVERAGE(#REF!)</f>
        <v>#REF!</v>
      </c>
      <c r="L8" s="20" t="e">
        <f>AVERAGE(#REF!)</f>
        <v>#REF!</v>
      </c>
      <c r="M8" s="20" t="e">
        <f>AVERAGE(#REF!)</f>
        <v>#REF!</v>
      </c>
      <c r="N8" s="20" t="e">
        <f>AVERAGE(#REF!)</f>
        <v>#REF!</v>
      </c>
    </row>
    <row r="9" spans="1:14">
      <c r="A9" s="13">
        <v>1986</v>
      </c>
      <c r="B9" s="52">
        <f>100*'14'!B9/'9'!C21</f>
        <v>88.75967992756722</v>
      </c>
      <c r="C9" s="52">
        <f>100*'14'!C9/'9'!D21</f>
        <v>90.337770067625314</v>
      </c>
      <c r="D9" s="52">
        <f>100*'14'!D9/'9'!E21</f>
        <v>85.455331023670041</v>
      </c>
      <c r="E9" s="52">
        <f>100*'14'!E9/'9'!F21</f>
        <v>86.970878906985874</v>
      </c>
      <c r="F9" s="52">
        <f>100*'14'!F9/'9'!G21</f>
        <v>-15987.69640361751</v>
      </c>
      <c r="G9" s="52">
        <f>100*'14'!G9/'9'!H21</f>
        <v>90.138809286496283</v>
      </c>
      <c r="H9" s="52">
        <f>100*'14'!H9/'9'!I21</f>
        <v>-15921.705305197906</v>
      </c>
      <c r="I9" s="52">
        <f>100*'14'!I9/'9'!J21</f>
        <v>82.441404581994703</v>
      </c>
      <c r="J9" s="7">
        <v>1966</v>
      </c>
      <c r="K9" s="20" t="e">
        <f>AVERAGE(#REF!)</f>
        <v>#REF!</v>
      </c>
      <c r="L9" s="20" t="e">
        <f>AVERAGE(#REF!)</f>
        <v>#REF!</v>
      </c>
      <c r="M9" s="20" t="e">
        <f>AVERAGE(#REF!)</f>
        <v>#REF!</v>
      </c>
      <c r="N9" s="20" t="e">
        <f>AVERAGE(#REF!)</f>
        <v>#REF!</v>
      </c>
    </row>
    <row r="10" spans="1:14">
      <c r="A10" s="13">
        <v>1987</v>
      </c>
      <c r="B10" s="52">
        <f>100*'14'!B10/'9'!C22</f>
        <v>88.984489296243453</v>
      </c>
      <c r="C10" s="52">
        <f>100*'14'!C10/'9'!D22</f>
        <v>89.794548869584986</v>
      </c>
      <c r="D10" s="52">
        <f>100*'14'!D10/'9'!E22</f>
        <v>85.931599724005139</v>
      </c>
      <c r="E10" s="52">
        <f>100*'14'!E10/'9'!F22</f>
        <v>86.711032735231598</v>
      </c>
      <c r="F10" s="52">
        <f>100*'14'!F10/'9'!G22</f>
        <v>-15548.471018240205</v>
      </c>
      <c r="G10" s="52">
        <f>100*'14'!G10/'9'!H22</f>
        <v>90.044381691412127</v>
      </c>
      <c r="H10" s="52">
        <f>100*'14'!H10/'9'!I22</f>
        <v>-15485.998561787692</v>
      </c>
      <c r="I10" s="52">
        <f>100*'14'!I10/'9'!J22</f>
        <v>82.44157903689451</v>
      </c>
      <c r="J10" s="7">
        <v>1967</v>
      </c>
      <c r="K10" s="20" t="e">
        <f>AVERAGE(#REF!)</f>
        <v>#REF!</v>
      </c>
      <c r="L10" s="20" t="e">
        <f>AVERAGE(#REF!)</f>
        <v>#REF!</v>
      </c>
      <c r="M10" s="20" t="e">
        <f>AVERAGE(#REF!)</f>
        <v>#REF!</v>
      </c>
      <c r="N10" s="20" t="e">
        <f>AVERAGE(#REF!)</f>
        <v>#REF!</v>
      </c>
    </row>
    <row r="11" spans="1:14">
      <c r="A11" s="13">
        <v>1988</v>
      </c>
      <c r="B11" s="52">
        <f>100*'14'!B11/'9'!C23</f>
        <v>88.805870080240155</v>
      </c>
      <c r="C11" s="52">
        <f>100*'14'!C11/'9'!D23</f>
        <v>88.85677725535399</v>
      </c>
      <c r="D11" s="52">
        <f>100*'14'!D11/'9'!E23</f>
        <v>85.559931298756297</v>
      </c>
      <c r="E11" s="52">
        <f>100*'14'!E11/'9'!F23</f>
        <v>85.608765946859705</v>
      </c>
      <c r="F11" s="52">
        <f>100*'14'!F11/'9'!G23</f>
        <v>-15241.41126937795</v>
      </c>
      <c r="G11" s="52">
        <f>100*'14'!G11/'9'!H23</f>
        <v>89.169187034983423</v>
      </c>
      <c r="H11" s="52">
        <f>100*'14'!H11/'9'!I23</f>
        <v>-15167.454890613366</v>
      </c>
      <c r="I11" s="52">
        <f>100*'14'!I11/'9'!J23</f>
        <v>81.333640099961087</v>
      </c>
      <c r="J11" s="7">
        <v>1968</v>
      </c>
      <c r="K11" s="20" t="e">
        <f>AVERAGE(#REF!)</f>
        <v>#REF!</v>
      </c>
      <c r="L11" s="20" t="e">
        <f>AVERAGE(#REF!)</f>
        <v>#REF!</v>
      </c>
      <c r="M11" s="20" t="e">
        <f>AVERAGE(#REF!)</f>
        <v>#REF!</v>
      </c>
      <c r="N11" s="20" t="e">
        <f>AVERAGE(#REF!)</f>
        <v>#REF!</v>
      </c>
    </row>
    <row r="12" spans="1:14">
      <c r="A12" s="13">
        <v>1989</v>
      </c>
      <c r="B12" s="52">
        <f>100*'14'!B12/'9'!C24</f>
        <v>86.959223052353678</v>
      </c>
      <c r="C12" s="52">
        <f>100*'14'!C12/'9'!D24</f>
        <v>88.020158025720988</v>
      </c>
      <c r="D12" s="52">
        <f>100*'14'!D12/'9'!E24</f>
        <v>83.601731615628012</v>
      </c>
      <c r="E12" s="52">
        <f>100*'14'!E12/'9'!F24</f>
        <v>84.61718562925023</v>
      </c>
      <c r="F12" s="52">
        <f>100*'14'!F12/'9'!G24</f>
        <v>-15072.384450164256</v>
      </c>
      <c r="G12" s="52">
        <f>100*'14'!G12/'9'!H24</f>
        <v>88.210119610143465</v>
      </c>
      <c r="H12" s="52">
        <f>100*'14'!H12/'9'!I24</f>
        <v>-14998.457473999986</v>
      </c>
      <c r="I12" s="52">
        <f>100*'14'!I12/'9'!J24</f>
        <v>80.024172701501001</v>
      </c>
      <c r="J12" s="7">
        <v>1969</v>
      </c>
      <c r="K12" s="20" t="e">
        <f>AVERAGE(#REF!)</f>
        <v>#REF!</v>
      </c>
      <c r="L12" s="20" t="e">
        <f>AVERAGE(#REF!)</f>
        <v>#REF!</v>
      </c>
      <c r="M12" s="20" t="e">
        <f>AVERAGE(#REF!)</f>
        <v>#REF!</v>
      </c>
      <c r="N12" s="20" t="e">
        <f>AVERAGE(#REF!)</f>
        <v>#REF!</v>
      </c>
    </row>
    <row r="13" spans="1:14">
      <c r="A13" s="13">
        <v>1990</v>
      </c>
      <c r="B13" s="52">
        <f>100*'14'!B13/'9'!C25</f>
        <v>85.124260181809333</v>
      </c>
      <c r="C13" s="52">
        <f>100*'14'!C13/'9'!D25</f>
        <v>86.509727297386874</v>
      </c>
      <c r="D13" s="52">
        <f>100*'14'!D13/'9'!E25</f>
        <v>81.586436934015211</v>
      </c>
      <c r="E13" s="52">
        <f>100*'14'!E13/'9'!F25</f>
        <v>82.906516348344951</v>
      </c>
      <c r="F13" s="52">
        <f>100*'14'!F13/'9'!G25</f>
        <v>-15226.115417636849</v>
      </c>
      <c r="G13" s="52">
        <f>100*'14'!G13/'9'!H25</f>
        <v>86.326931798099451</v>
      </c>
      <c r="H13" s="52">
        <f>100*'14'!H13/'9'!I25</f>
        <v>-15126.281612508026</v>
      </c>
      <c r="I13" s="52">
        <f>100*'14'!I13/'9'!J25</f>
        <v>77.561593138082358</v>
      </c>
      <c r="J13" s="7">
        <v>1970</v>
      </c>
      <c r="K13" s="20" t="e">
        <f>AVERAGE(#REF!)</f>
        <v>#REF!</v>
      </c>
      <c r="L13" s="20" t="e">
        <f>AVERAGE(#REF!)</f>
        <v>#REF!</v>
      </c>
      <c r="M13" s="20" t="e">
        <f>AVERAGE(#REF!)</f>
        <v>#REF!</v>
      </c>
      <c r="N13" s="20" t="e">
        <f>AVERAGE(#REF!)</f>
        <v>#REF!</v>
      </c>
    </row>
    <row r="14" spans="1:14">
      <c r="A14" s="13">
        <v>1991</v>
      </c>
      <c r="B14" s="52">
        <f>100*'14'!B14/'9'!C26</f>
        <v>83.449494819363224</v>
      </c>
      <c r="C14" s="52">
        <f>100*'14'!C14/'9'!D26</f>
        <v>84.727681535171257</v>
      </c>
      <c r="D14" s="52">
        <f>100*'14'!D14/'9'!E26</f>
        <v>80.271990464219542</v>
      </c>
      <c r="E14" s="52">
        <f>100*'14'!E14/'9'!F26</f>
        <v>81.495135050580586</v>
      </c>
      <c r="F14" s="52">
        <f>100*'14'!F14/'9'!G26</f>
        <v>-14971.716576833049</v>
      </c>
      <c r="G14" s="52">
        <f>100*'14'!G14/'9'!H26</f>
        <v>84.776095775700782</v>
      </c>
      <c r="H14" s="52">
        <f>100*'14'!H14/'9'!I26</f>
        <v>-14884.965687753636</v>
      </c>
      <c r="I14" s="52">
        <f>100*'14'!I14/'9'!J26</f>
        <v>76.224741071752362</v>
      </c>
      <c r="J14" s="7">
        <v>1971</v>
      </c>
      <c r="K14" s="20" t="e">
        <f>AVERAGE(#REF!)</f>
        <v>#REF!</v>
      </c>
      <c r="L14" s="20" t="e">
        <f>AVERAGE(#REF!)</f>
        <v>#REF!</v>
      </c>
      <c r="M14" s="20" t="e">
        <f>AVERAGE(#REF!)</f>
        <v>#REF!</v>
      </c>
      <c r="N14" s="20" t="e">
        <f>AVERAGE(#REF!)</f>
        <v>#REF!</v>
      </c>
    </row>
    <row r="15" spans="1:14">
      <c r="A15" s="13">
        <v>1992</v>
      </c>
      <c r="B15" s="52">
        <f>100*'14'!B15/'9'!C27</f>
        <v>81.410543812960341</v>
      </c>
      <c r="C15" s="52">
        <f>100*'14'!C15/'9'!D27</f>
        <v>82.883824999007771</v>
      </c>
      <c r="D15" s="52">
        <f>100*'14'!D15/'9'!E27</f>
        <v>78.11953353990117</v>
      </c>
      <c r="E15" s="52">
        <f>100*'14'!E15/'9'!F27</f>
        <v>79.526425613131607</v>
      </c>
      <c r="F15" s="52">
        <f>100*'14'!F15/'9'!G27</f>
        <v>-14691.895951677228</v>
      </c>
      <c r="G15" s="52">
        <f>100*'14'!G15/'9'!H27</f>
        <v>82.401487293382019</v>
      </c>
      <c r="H15" s="52">
        <f>100*'14'!H15/'9'!I27</f>
        <v>-14613.578397787756</v>
      </c>
      <c r="I15" s="52">
        <f>100*'14'!I15/'9'!J27</f>
        <v>73.973770071733625</v>
      </c>
      <c r="J15" s="7">
        <v>1972</v>
      </c>
      <c r="K15" s="20" t="e">
        <f>AVERAGE(#REF!)</f>
        <v>#REF!</v>
      </c>
      <c r="L15" s="20" t="e">
        <f>AVERAGE(#REF!)</f>
        <v>#REF!</v>
      </c>
      <c r="M15" s="20" t="e">
        <f>AVERAGE(#REF!)</f>
        <v>#REF!</v>
      </c>
      <c r="N15" s="20" t="e">
        <f>AVERAGE(#REF!)</f>
        <v>#REF!</v>
      </c>
    </row>
    <row r="16" spans="1:14">
      <c r="A16" s="13">
        <v>1993</v>
      </c>
      <c r="B16" s="52">
        <f>100*'14'!B16/'9'!C28</f>
        <v>81.445720489322241</v>
      </c>
      <c r="C16" s="52">
        <f>100*'14'!C16/'9'!D28</f>
        <v>83.341332997354087</v>
      </c>
      <c r="D16" s="52">
        <f>100*'14'!D16/'9'!E28</f>
        <v>78.322273178751985</v>
      </c>
      <c r="E16" s="52">
        <f>100*'14'!E16/'9'!F28</f>
        <v>80.135579541959601</v>
      </c>
      <c r="F16" s="52">
        <f>100*'14'!F16/'9'!G28</f>
        <v>-14486.32749778063</v>
      </c>
      <c r="G16" s="52">
        <f>100*'14'!G16/'9'!H28</f>
        <v>83.035236931666759</v>
      </c>
      <c r="H16" s="52">
        <f>100*'14'!H16/'9'!I28</f>
        <v>-14413.013962366855</v>
      </c>
      <c r="I16" s="52">
        <f>100*'14'!I16/'9'!J28</f>
        <v>74.773159355519297</v>
      </c>
      <c r="J16" s="7">
        <v>1973</v>
      </c>
      <c r="K16" s="20" t="e">
        <f>AVERAGE(#REF!)</f>
        <v>#REF!</v>
      </c>
      <c r="L16" s="20" t="e">
        <f>AVERAGE(#REF!)</f>
        <v>#REF!</v>
      </c>
      <c r="M16" s="20" t="e">
        <f>AVERAGE(#REF!)</f>
        <v>#REF!</v>
      </c>
      <c r="N16" s="20" t="e">
        <f>AVERAGE(#REF!)</f>
        <v>#REF!</v>
      </c>
    </row>
    <row r="17" spans="1:17">
      <c r="A17" s="13">
        <v>1994</v>
      </c>
      <c r="B17" s="52">
        <f>100*'14'!B17/'9'!C29</f>
        <v>81.913813199608228</v>
      </c>
      <c r="C17" s="52">
        <f>100*'14'!C17/'9'!D29</f>
        <v>83.517179850878662</v>
      </c>
      <c r="D17" s="52">
        <f>100*'14'!D17/'9'!E29</f>
        <v>78.731370856000197</v>
      </c>
      <c r="E17" s="52">
        <f>100*'14'!E17/'9'!F29</f>
        <v>80.267501670994591</v>
      </c>
      <c r="F17" s="52">
        <f>100*'14'!F17/'9'!G29</f>
        <v>-14453.731582203729</v>
      </c>
      <c r="G17" s="52">
        <f>100*'14'!G17/'9'!H29</f>
        <v>83.105790416628565</v>
      </c>
      <c r="H17" s="52">
        <f>100*'14'!H17/'9'!I29</f>
        <v>-14403.999296514152</v>
      </c>
      <c r="I17" s="52">
        <f>100*'14'!I17/'9'!J29</f>
        <v>74.957143037136319</v>
      </c>
      <c r="J17" s="7">
        <v>1974</v>
      </c>
      <c r="K17" s="20" t="e">
        <f>AVERAGE(#REF!)</f>
        <v>#REF!</v>
      </c>
      <c r="L17" s="20" t="e">
        <f>AVERAGE(#REF!)</f>
        <v>#REF!</v>
      </c>
      <c r="M17" s="20" t="e">
        <f>AVERAGE(#REF!)</f>
        <v>#REF!</v>
      </c>
      <c r="N17" s="20" t="e">
        <f>AVERAGE(#REF!)</f>
        <v>#REF!</v>
      </c>
    </row>
    <row r="18" spans="1:17">
      <c r="A18" s="13">
        <v>1995</v>
      </c>
      <c r="B18" s="52">
        <f>100*'14'!B18/'9'!C30</f>
        <v>82.029265884970883</v>
      </c>
      <c r="C18" s="52">
        <f>100*'14'!C18/'9'!D30</f>
        <v>83.040134440406021</v>
      </c>
      <c r="D18" s="52">
        <f>100*'14'!D18/'9'!E30</f>
        <v>78.914172840521331</v>
      </c>
      <c r="E18" s="52">
        <f>100*'14'!E18/'9'!F30</f>
        <v>79.883058482747231</v>
      </c>
      <c r="F18" s="52">
        <f>100*'14'!F18/'9'!G30</f>
        <v>-14408.447964468431</v>
      </c>
      <c r="G18" s="52">
        <f>100*'14'!G18/'9'!H30</f>
        <v>82.832122040222316</v>
      </c>
      <c r="H18" s="52">
        <f>100*'14'!H18/'9'!I30</f>
        <v>-14350.328868519196</v>
      </c>
      <c r="I18" s="52">
        <f>100*'14'!I18/'9'!J30</f>
        <v>74.853082533288941</v>
      </c>
      <c r="J18" s="7">
        <v>1975</v>
      </c>
      <c r="K18" s="20" t="e">
        <f>AVERAGE(#REF!)</f>
        <v>#REF!</v>
      </c>
      <c r="L18" s="20" t="e">
        <f>AVERAGE(#REF!)</f>
        <v>#REF!</v>
      </c>
      <c r="M18" s="20" t="e">
        <f>AVERAGE(#REF!)</f>
        <v>#REF!</v>
      </c>
      <c r="N18" s="20" t="e">
        <f>AVERAGE(#REF!)</f>
        <v>#REF!</v>
      </c>
    </row>
    <row r="19" spans="1:17">
      <c r="A19" s="13">
        <v>1996</v>
      </c>
      <c r="B19" s="52">
        <f>100*'14'!B19/'9'!C31</f>
        <v>80.42570680680295</v>
      </c>
      <c r="C19" s="52">
        <f>100*'14'!C19/'9'!D31</f>
        <v>81.008705380162311</v>
      </c>
      <c r="D19" s="52">
        <f>100*'14'!D19/'9'!E31</f>
        <v>77.457002445398132</v>
      </c>
      <c r="E19" s="52">
        <f>100*'14'!E19/'9'!F31</f>
        <v>78.016324813570463</v>
      </c>
      <c r="F19" s="52">
        <f>100*'14'!F19/'9'!G31</f>
        <v>-14236.468323405456</v>
      </c>
      <c r="G19" s="52">
        <f>100*'14'!G19/'9'!H31</f>
        <v>80.476508859627302</v>
      </c>
      <c r="H19" s="52">
        <f>100*'14'!H19/'9'!I31</f>
        <v>-14176.091391890346</v>
      </c>
      <c r="I19" s="52">
        <f>100*'14'!I19/'9'!J31</f>
        <v>73.071453498770083</v>
      </c>
      <c r="J19" s="7">
        <v>1976</v>
      </c>
      <c r="K19" s="20" t="e">
        <f>AVERAGE(#REF!)</f>
        <v>#REF!</v>
      </c>
      <c r="L19" s="20" t="e">
        <f>AVERAGE(#REF!)</f>
        <v>#REF!</v>
      </c>
      <c r="M19" s="20" t="e">
        <f>AVERAGE(#REF!)</f>
        <v>#REF!</v>
      </c>
      <c r="N19" s="20" t="e">
        <f>AVERAGE(#REF!)</f>
        <v>#REF!</v>
      </c>
    </row>
    <row r="20" spans="1:17">
      <c r="A20" s="13">
        <v>1997</v>
      </c>
      <c r="B20" s="52">
        <f>100*'14'!B20/'9'!C32</f>
        <v>80.457344697251926</v>
      </c>
      <c r="C20" s="52">
        <f>100*'14'!C20/'9'!D32</f>
        <v>80.566299308329235</v>
      </c>
      <c r="D20" s="52">
        <f>100*'14'!D20/'9'!E32</f>
        <v>77.75026518859066</v>
      </c>
      <c r="E20" s="52">
        <f>100*'14'!E20/'9'!F32</f>
        <v>77.855268282694695</v>
      </c>
      <c r="F20" s="52">
        <f>100*'14'!F20/'9'!G32</f>
        <v>-14259.969068768063</v>
      </c>
      <c r="G20" s="52">
        <f>100*'14'!G20/'9'!H32</f>
        <v>79.818508439772771</v>
      </c>
      <c r="H20" s="52">
        <f>100*'14'!H20/'9'!I32</f>
        <v>-14217.742808455943</v>
      </c>
      <c r="I20" s="52">
        <f>100*'14'!I20/'9'!J32</f>
        <v>73.050791582308818</v>
      </c>
      <c r="J20" s="7">
        <v>1977</v>
      </c>
      <c r="K20" s="20" t="e">
        <f>AVERAGE(#REF!)</f>
        <v>#REF!</v>
      </c>
      <c r="L20" s="20" t="e">
        <f>AVERAGE(#REF!)</f>
        <v>#REF!</v>
      </c>
      <c r="M20" s="20" t="e">
        <f>AVERAGE(#REF!)</f>
        <v>#REF!</v>
      </c>
      <c r="N20" s="20" t="e">
        <f>AVERAGE(#REF!)</f>
        <v>#REF!</v>
      </c>
    </row>
    <row r="21" spans="1:17">
      <c r="A21" s="13">
        <v>1998</v>
      </c>
      <c r="B21" s="52">
        <f>100*'14'!B21/'9'!C33</f>
        <v>80.255749811935559</v>
      </c>
      <c r="C21" s="52">
        <f>100*'14'!C21/'9'!D33</f>
        <v>79.769009924831877</v>
      </c>
      <c r="D21" s="52">
        <f>100*'14'!D21/'9'!E33</f>
        <v>77.406871981479838</v>
      </c>
      <c r="E21" s="52">
        <f>100*'14'!E21/'9'!F33</f>
        <v>76.938304303676134</v>
      </c>
      <c r="F21" s="52">
        <f>100*'14'!F21/'9'!G33</f>
        <v>-14663.444241204166</v>
      </c>
      <c r="G21" s="52">
        <f>100*'14'!G21/'9'!H33</f>
        <v>78.49689664072001</v>
      </c>
      <c r="H21" s="52">
        <f>100*'14'!H21/'9'!I33</f>
        <v>-14633.758635468685</v>
      </c>
      <c r="I21" s="52">
        <f>100*'14'!I21/'9'!J33</f>
        <v>71.814523573102292</v>
      </c>
      <c r="J21" s="7">
        <v>1978</v>
      </c>
      <c r="K21" s="20" t="e">
        <f>AVERAGE(#REF!)</f>
        <v>#REF!</v>
      </c>
      <c r="L21" s="20" t="e">
        <f>AVERAGE(#REF!)</f>
        <v>#REF!</v>
      </c>
      <c r="M21" s="20" t="e">
        <f>AVERAGE(#REF!)</f>
        <v>#REF!</v>
      </c>
      <c r="N21" s="20" t="e">
        <f>AVERAGE(#REF!)</f>
        <v>#REF!</v>
      </c>
      <c r="Q21" s="42"/>
    </row>
    <row r="22" spans="1:17">
      <c r="A22" s="13">
        <v>1999</v>
      </c>
      <c r="B22" s="52">
        <f>100*'14'!B22/'9'!C34</f>
        <v>80.841618421895134</v>
      </c>
      <c r="C22" s="52">
        <f>100*'14'!C22/'9'!D34</f>
        <v>80.564723456171038</v>
      </c>
      <c r="D22" s="52">
        <f>100*'14'!D22/'9'!E34</f>
        <v>77.914300521431187</v>
      </c>
      <c r="E22" s="52">
        <f>100*'14'!E22/'9'!F34</f>
        <v>77.647333033525683</v>
      </c>
      <c r="F22" s="52">
        <f>100*'14'!F22/'9'!G34</f>
        <v>-14443.308065752173</v>
      </c>
      <c r="G22" s="52">
        <f>100*'14'!G22/'9'!H34</f>
        <v>79.721452668073169</v>
      </c>
      <c r="H22" s="52">
        <f>100*'14'!H22/'9'!I34</f>
        <v>-14401.703257807381</v>
      </c>
      <c r="I22" s="52">
        <f>100*'14'!I22/'9'!J34</f>
        <v>73.011046934506069</v>
      </c>
      <c r="J22" s="7">
        <v>1979</v>
      </c>
      <c r="K22" s="20" t="e">
        <f>AVERAGE(#REF!)</f>
        <v>#REF!</v>
      </c>
      <c r="L22" s="20" t="e">
        <f>AVERAGE(#REF!)</f>
        <v>#REF!</v>
      </c>
      <c r="M22" s="20" t="e">
        <f>AVERAGE(#REF!)</f>
        <v>#REF!</v>
      </c>
      <c r="N22" s="20" t="e">
        <f>AVERAGE(#REF!)</f>
        <v>#REF!</v>
      </c>
    </row>
    <row r="23" spans="1:17">
      <c r="A23" s="13">
        <v>2000</v>
      </c>
      <c r="B23" s="52">
        <f>100*'14'!B23/'9'!C35</f>
        <v>80.980172606410704</v>
      </c>
      <c r="C23" s="52">
        <f>100*'14'!C23/'9'!D35</f>
        <v>80.225052529056939</v>
      </c>
      <c r="D23" s="52">
        <f>100*'14'!D23/'9'!E35</f>
        <v>78.58634848758571</v>
      </c>
      <c r="E23" s="52">
        <f>100*'14'!E23/'9'!F35</f>
        <v>77.856027256732958</v>
      </c>
      <c r="F23" s="52">
        <f>100*'14'!F23/'9'!G35</f>
        <v>-14085.280871918463</v>
      </c>
      <c r="G23" s="52">
        <f>100*'14'!G23/'9'!H35</f>
        <v>79.917844432828488</v>
      </c>
      <c r="H23" s="52">
        <f>100*'14'!H23/'9'!I35</f>
        <v>-14031.589481855037</v>
      </c>
      <c r="I23" s="52">
        <f>100*'14'!I23/'9'!J35</f>
        <v>73.698628284206166</v>
      </c>
      <c r="J23" s="7">
        <v>1980</v>
      </c>
      <c r="K23" s="20" t="e">
        <f>AVERAGE(#REF!)</f>
        <v>#REF!</v>
      </c>
      <c r="L23" s="20" t="e">
        <f>AVERAGE(#REF!)</f>
        <v>#REF!</v>
      </c>
      <c r="M23" s="20" t="e">
        <f>AVERAGE(#REF!)</f>
        <v>#REF!</v>
      </c>
      <c r="N23" s="20" t="e">
        <f>AVERAGE(#REF!)</f>
        <v>#REF!</v>
      </c>
    </row>
    <row r="24" spans="1:17">
      <c r="A24" s="13">
        <v>2001</v>
      </c>
      <c r="B24" s="52">
        <f>100*'14'!B24/'9'!C36</f>
        <v>81.569951960360243</v>
      </c>
      <c r="C24" s="52">
        <f>100*'14'!C24/'9'!D36</f>
        <v>80.706584165884991</v>
      </c>
      <c r="D24" s="52">
        <f>100*'14'!D24/'9'!E36</f>
        <v>78.909254274181009</v>
      </c>
      <c r="E24" s="52">
        <f>100*'14'!E24/'9'!F36</f>
        <v>78.078568694873141</v>
      </c>
      <c r="F24" s="52">
        <f>100*'14'!F24/'9'!G36</f>
        <v>-14645.986565643741</v>
      </c>
      <c r="G24" s="52">
        <f>100*'14'!G24/'9'!H36</f>
        <v>80.341613959573451</v>
      </c>
      <c r="H24" s="52">
        <f>100*'14'!H24/'9'!I36</f>
        <v>-14569.537412690463</v>
      </c>
      <c r="I24" s="52">
        <f>100*'14'!I24/'9'!J36</f>
        <v>73.867049692675636</v>
      </c>
      <c r="J24" s="7">
        <v>1981</v>
      </c>
      <c r="K24" s="20">
        <f t="shared" ref="K24:K34" si="0">AVERAGE(B4:C4)</f>
        <v>94.567092557634012</v>
      </c>
      <c r="L24" s="20">
        <f t="shared" ref="L24:L34" si="1">AVERAGE(D4:E4)</f>
        <v>90.474179186570865</v>
      </c>
      <c r="M24" s="20">
        <f t="shared" ref="M24:M34" si="2">AVERAGE(F4:G4)</f>
        <v>-8579.5378570917055</v>
      </c>
      <c r="N24" s="20">
        <f t="shared" ref="N24:N34" si="3">AVERAGE(H4:I4)</f>
        <v>-8483.5720661555752</v>
      </c>
    </row>
    <row r="25" spans="1:17">
      <c r="A25" s="13">
        <v>2002</v>
      </c>
      <c r="B25" s="52">
        <f>100*'14'!B25/'9'!C37</f>
        <v>81.659507802144276</v>
      </c>
      <c r="C25" s="52">
        <f>100*'14'!C25/'9'!D37</f>
        <v>81.120258797483032</v>
      </c>
      <c r="D25" s="52">
        <f>100*'14'!D25/'9'!E37</f>
        <v>79.264942083557358</v>
      </c>
      <c r="E25" s="52">
        <f>100*'14'!E25/'9'!F37</f>
        <v>78.744363232317014</v>
      </c>
      <c r="F25" s="52">
        <f>100*'14'!F25/'9'!G37</f>
        <v>-14698.937526011325</v>
      </c>
      <c r="G25" s="52">
        <f>100*'14'!G25/'9'!H37</f>
        <v>80.823150019238327</v>
      </c>
      <c r="H25" s="52">
        <f>100*'14'!H25/'9'!I37</f>
        <v>-14629.945104195956</v>
      </c>
      <c r="I25" s="52">
        <f>100*'14'!I25/'9'!J37</f>
        <v>75.041772240290172</v>
      </c>
      <c r="J25" s="7">
        <v>1982</v>
      </c>
      <c r="K25" s="20">
        <f t="shared" si="0"/>
        <v>92.586525507387961</v>
      </c>
      <c r="L25" s="20">
        <f t="shared" si="1"/>
        <v>88.423574728065546</v>
      </c>
      <c r="M25" s="20">
        <f t="shared" si="2"/>
        <v>-9089.5375898710572</v>
      </c>
      <c r="N25" s="20">
        <f t="shared" si="3"/>
        <v>-8979.4041583550988</v>
      </c>
    </row>
    <row r="26" spans="1:17">
      <c r="A26" s="13">
        <v>2003</v>
      </c>
      <c r="B26" s="52">
        <f>100*'14'!B26/'9'!C38</f>
        <v>82.130376008675427</v>
      </c>
      <c r="C26" s="52">
        <f>100*'14'!C26/'9'!D38</f>
        <v>82.032294073571492</v>
      </c>
      <c r="D26" s="52">
        <f>100*'14'!D26/'9'!E38</f>
        <v>79.70390380906791</v>
      </c>
      <c r="E26" s="52">
        <f>100*'14'!E26/'9'!F38</f>
        <v>79.609201721335239</v>
      </c>
      <c r="F26" s="52">
        <f>100*'14'!F26/'9'!G38</f>
        <v>-14244.672907529452</v>
      </c>
      <c r="G26" s="52">
        <f>100*'14'!G26/'9'!H38</f>
        <v>82.170606361989542</v>
      </c>
      <c r="H26" s="52">
        <f>100*'14'!H26/'9'!I38</f>
        <v>-14162.272689643883</v>
      </c>
      <c r="I26" s="52">
        <f>100*'14'!I26/'9'!J38</f>
        <v>76.098603077416016</v>
      </c>
      <c r="J26" s="7">
        <v>1983</v>
      </c>
      <c r="K26" s="20">
        <f t="shared" si="0"/>
        <v>91.364432415918401</v>
      </c>
      <c r="L26" s="20">
        <f t="shared" si="1"/>
        <v>87.783730752650627</v>
      </c>
      <c r="M26" s="20">
        <f t="shared" si="2"/>
        <v>-8529.7093422240141</v>
      </c>
      <c r="N26" s="20">
        <f t="shared" si="3"/>
        <v>-8433.4475051790032</v>
      </c>
    </row>
    <row r="27" spans="1:17">
      <c r="A27" s="13">
        <v>2004</v>
      </c>
      <c r="B27" s="52">
        <f>100*'14'!B27/'9'!C39</f>
        <v>81.527249944912057</v>
      </c>
      <c r="C27" s="52">
        <f>100*'14'!C27/'9'!D39</f>
        <v>81.379997438023878</v>
      </c>
      <c r="D27" s="52">
        <f>100*'14'!D27/'9'!E39</f>
        <v>79.262532240370902</v>
      </c>
      <c r="E27" s="52">
        <f>100*'14'!E27/'9'!F39</f>
        <v>79.120279360517699</v>
      </c>
      <c r="F27" s="52">
        <f>100*'14'!F27/'9'!G39</f>
        <v>-13778.186455531175</v>
      </c>
      <c r="G27" s="52">
        <f>100*'14'!G27/'9'!H39</f>
        <v>81.771853990040924</v>
      </c>
      <c r="H27" s="52">
        <f>100*'14'!H27/'9'!I39</f>
        <v>-13677.328590924746</v>
      </c>
      <c r="I27" s="52">
        <f>100*'14'!I27/'9'!J39</f>
        <v>75.588220255466069</v>
      </c>
      <c r="J27" s="7">
        <v>1984</v>
      </c>
      <c r="K27" s="20">
        <f t="shared" si="0"/>
        <v>89.929696796997277</v>
      </c>
      <c r="L27" s="20">
        <f t="shared" si="1"/>
        <v>86.36608621503666</v>
      </c>
      <c r="M27" s="20">
        <f t="shared" si="2"/>
        <v>-8082.8145549324154</v>
      </c>
      <c r="N27" s="20">
        <f t="shared" si="3"/>
        <v>-8003.5710620348009</v>
      </c>
    </row>
    <row r="28" spans="1:17">
      <c r="A28" s="13">
        <v>2005</v>
      </c>
      <c r="B28" s="52">
        <f>100*'14'!B28/'9'!C40</f>
        <v>82.581646048551391</v>
      </c>
      <c r="C28" s="52">
        <f>100*'14'!C28/'9'!D40</f>
        <v>82.234078605264784</v>
      </c>
      <c r="D28" s="52">
        <f>100*'14'!D28/'9'!E40</f>
        <v>80.411974997019442</v>
      </c>
      <c r="E28" s="52">
        <f>100*'14'!E28/'9'!F40</f>
        <v>80.075543656720441</v>
      </c>
      <c r="F28" s="52">
        <f>100*'14'!F28/'9'!G40</f>
        <v>-13884.33020046192</v>
      </c>
      <c r="G28" s="52">
        <f>100*'14'!G28/'9'!H40</f>
        <v>82.896657469712977</v>
      </c>
      <c r="H28" s="52">
        <f>100*'14'!H28/'9'!I40</f>
        <v>-13789.121761891318</v>
      </c>
      <c r="I28" s="52">
        <f>100*'14'!I28/'9'!J40</f>
        <v>74.986738482925574</v>
      </c>
      <c r="J28" s="7">
        <v>1985</v>
      </c>
      <c r="K28" s="20">
        <f t="shared" si="0"/>
        <v>90.501903730931161</v>
      </c>
      <c r="L28" s="20">
        <f t="shared" si="1"/>
        <v>87.223063774691795</v>
      </c>
      <c r="M28" s="20">
        <f t="shared" si="2"/>
        <v>-7992.6513827560129</v>
      </c>
      <c r="N28" s="20">
        <f t="shared" si="3"/>
        <v>-7943.0363966877439</v>
      </c>
    </row>
    <row r="29" spans="1:17">
      <c r="A29" s="13">
        <v>2006</v>
      </c>
      <c r="B29" s="52">
        <f>100*'14'!B29/'9'!C41</f>
        <v>82.540537332432763</v>
      </c>
      <c r="C29" s="52">
        <f>100*'14'!C29/'9'!D41</f>
        <v>81.316777110545587</v>
      </c>
      <c r="D29" s="52">
        <f>100*'14'!D29/'9'!E41</f>
        <v>80.931163720317599</v>
      </c>
      <c r="E29" s="52">
        <f>100*'14'!E29/'9'!F41</f>
        <v>79.735570105775281</v>
      </c>
      <c r="F29" s="52">
        <f>100*'14'!F29/'9'!G41</f>
        <v>-14196.311014135612</v>
      </c>
      <c r="G29" s="52">
        <f>100*'14'!G29/'9'!H41</f>
        <v>81.789338786293996</v>
      </c>
      <c r="H29" s="52">
        <f>100*'14'!H29/'9'!I41</f>
        <v>-14136.916227860424</v>
      </c>
      <c r="I29" s="52">
        <f>100*'14'!I29/'9'!J41</f>
        <v>74.44838513558652</v>
      </c>
      <c r="J29" s="7">
        <v>1986</v>
      </c>
      <c r="K29" s="20">
        <f t="shared" si="0"/>
        <v>89.548724997596267</v>
      </c>
      <c r="L29" s="20">
        <f t="shared" si="1"/>
        <v>86.213104965327958</v>
      </c>
      <c r="M29" s="20">
        <f t="shared" si="2"/>
        <v>-7948.7787971655071</v>
      </c>
      <c r="N29" s="20">
        <f t="shared" si="3"/>
        <v>-7919.6319503079558</v>
      </c>
    </row>
    <row r="30" spans="1:17">
      <c r="A30" s="13">
        <v>2007</v>
      </c>
      <c r="B30" s="52">
        <f>100*'14'!B30/'9'!C42</f>
        <v>82.65142091534014</v>
      </c>
      <c r="C30" s="52">
        <f>100*'14'!C30/'9'!D42</f>
        <v>82.752772576686212</v>
      </c>
      <c r="D30" s="52">
        <f>100*'14'!D30/'9'!E42</f>
        <v>80.825196951467731</v>
      </c>
      <c r="E30" s="52">
        <f>100*'14'!E30/'9'!F42</f>
        <v>80.923566360266392</v>
      </c>
      <c r="F30" s="52">
        <f>100*'14'!F30/'9'!G42</f>
        <v>-14520.740003042572</v>
      </c>
      <c r="G30" s="52">
        <f>100*'14'!G30/'9'!H42</f>
        <v>83.416983309419379</v>
      </c>
      <c r="H30" s="52">
        <f>100*'14'!H30/'9'!I42</f>
        <v>-14393.573486626894</v>
      </c>
      <c r="I30" s="52">
        <f>100*'14'!I30/'9'!J42</f>
        <v>75.55409800320686</v>
      </c>
      <c r="J30" s="7">
        <v>1987</v>
      </c>
      <c r="K30" s="20">
        <f t="shared" si="0"/>
        <v>89.389519082914219</v>
      </c>
      <c r="L30" s="20">
        <f t="shared" si="1"/>
        <v>86.321316229618361</v>
      </c>
      <c r="M30" s="20">
        <f t="shared" si="2"/>
        <v>-7729.2133182743964</v>
      </c>
      <c r="N30" s="20">
        <f t="shared" si="3"/>
        <v>-7701.7784913753985</v>
      </c>
    </row>
    <row r="31" spans="1:17">
      <c r="A31" s="13">
        <v>2008</v>
      </c>
      <c r="B31" s="52">
        <f>100*'14'!B31/'9'!C43</f>
        <v>83.695855171733427</v>
      </c>
      <c r="C31" s="52">
        <f>100*'14'!C31/'9'!D43</f>
        <v>84.748821608443194</v>
      </c>
      <c r="D31" s="52">
        <f>100*'14'!D31/'9'!E43</f>
        <v>81.60807765197886</v>
      </c>
      <c r="E31" s="52">
        <f>100*'14'!E31/'9'!F43</f>
        <v>82.624524637429388</v>
      </c>
      <c r="F31" s="52">
        <f>100*'14'!F31/'9'!G43</f>
        <v>-15338.261475847839</v>
      </c>
      <c r="G31" s="52">
        <f>100*'14'!G31/'9'!H43</f>
        <v>85.503491465104929</v>
      </c>
      <c r="H31" s="52">
        <f>100*'14'!H31/'9'!I43</f>
        <v>-15150.134671834105</v>
      </c>
      <c r="I31" s="52">
        <f>100*'14'!I31/'9'!J43</f>
        <v>78.057159027533359</v>
      </c>
      <c r="J31" s="7">
        <v>1988</v>
      </c>
      <c r="K31" s="20">
        <f t="shared" si="0"/>
        <v>88.831323667797079</v>
      </c>
      <c r="L31" s="20">
        <f t="shared" si="1"/>
        <v>85.584348622807994</v>
      </c>
      <c r="M31" s="20">
        <f t="shared" si="2"/>
        <v>-7576.1210411714828</v>
      </c>
      <c r="N31" s="20">
        <f t="shared" si="3"/>
        <v>-7543.0606252567022</v>
      </c>
    </row>
    <row r="32" spans="1:17">
      <c r="A32" s="13">
        <v>2009</v>
      </c>
      <c r="B32" s="52">
        <f>100*'14'!B32/'9'!C44</f>
        <v>82.825068083938746</v>
      </c>
      <c r="C32" s="52">
        <f>100*'14'!C32/'9'!D44</f>
        <v>83.941075573622584</v>
      </c>
      <c r="D32" s="52">
        <f>100*'14'!D32/'9'!E44</f>
        <v>80.606763281780317</v>
      </c>
      <c r="E32" s="52">
        <f>100*'14'!E32/'9'!F44</f>
        <v>81.682736800414503</v>
      </c>
      <c r="F32" s="52">
        <f>100*'14'!F32/'9'!G44</f>
        <v>-16819.102415023666</v>
      </c>
      <c r="G32" s="52">
        <f>100*'14'!G32/'9'!H44</f>
        <v>83.498244528479404</v>
      </c>
      <c r="H32" s="52">
        <f>100*'14'!H32/'9'!I44</f>
        <v>-16625.473862981671</v>
      </c>
      <c r="I32" s="52">
        <f>100*'14'!I32/'9'!J44</f>
        <v>75.705076252624707</v>
      </c>
      <c r="J32" s="7">
        <v>1989</v>
      </c>
      <c r="K32" s="20">
        <f t="shared" si="0"/>
        <v>87.489690539037326</v>
      </c>
      <c r="L32" s="20">
        <f t="shared" si="1"/>
        <v>84.109458622439121</v>
      </c>
      <c r="M32" s="20">
        <f t="shared" si="2"/>
        <v>-7492.0871652770566</v>
      </c>
      <c r="N32" s="20">
        <f t="shared" si="3"/>
        <v>-7459.2166506492422</v>
      </c>
    </row>
    <row r="33" spans="1:14">
      <c r="A33" s="13">
        <v>2010</v>
      </c>
      <c r="B33" s="52">
        <f>100*'14'!B33/'9'!C45</f>
        <v>82.985534513170521</v>
      </c>
      <c r="C33" s="52">
        <f>100*'14'!C33/'9'!D45</f>
        <v>83.325124370430899</v>
      </c>
      <c r="D33" s="52">
        <f>100*'14'!D33/'9'!E45</f>
        <v>80.297232837697848</v>
      </c>
      <c r="E33" s="52">
        <f>100*'14'!E33/'9'!F45</f>
        <v>80.621570659323382</v>
      </c>
      <c r="F33" s="52">
        <f>100*'14'!F33/'9'!G45</f>
        <v>-15848.232396445368</v>
      </c>
      <c r="G33" s="52">
        <f>100*'14'!G33/'9'!H45</f>
        <v>83.18738632802615</v>
      </c>
      <c r="H33" s="52">
        <f>100*'14'!H33/'9'!I45</f>
        <v>-15607.788694824509</v>
      </c>
      <c r="I33" s="52">
        <f>100*'14'!I33/'9'!J45</f>
        <v>75.33496717720584</v>
      </c>
      <c r="J33" s="7">
        <v>1990</v>
      </c>
      <c r="K33" s="20">
        <f t="shared" si="0"/>
        <v>85.816993739598104</v>
      </c>
      <c r="L33" s="20">
        <f t="shared" si="1"/>
        <v>82.246476641180081</v>
      </c>
      <c r="M33" s="20">
        <f t="shared" si="2"/>
        <v>-7569.8942429193748</v>
      </c>
      <c r="N33" s="20">
        <f t="shared" si="3"/>
        <v>-7524.3600096849723</v>
      </c>
    </row>
    <row r="34" spans="1:14">
      <c r="A34" s="13">
        <v>2011</v>
      </c>
      <c r="B34" s="52">
        <f>100*'14'!B34/'9'!C46</f>
        <v>83.74971349688586</v>
      </c>
      <c r="C34" s="52">
        <f>100*'14'!C34/'9'!D46</f>
        <v>83.464028584407231</v>
      </c>
      <c r="D34" s="52">
        <f>100*'14'!D34/'9'!E46</f>
        <v>80.93679212896744</v>
      </c>
      <c r="E34" s="52">
        <f>100*'14'!E34/'9'!F46</f>
        <v>80.664825040296179</v>
      </c>
      <c r="F34" s="52">
        <f>100*'14'!F34/'9'!G46</f>
        <v>-15624.882961643099</v>
      </c>
      <c r="G34" s="52">
        <f>100*'14'!G34/'9'!H46</f>
        <v>83.542844183444885</v>
      </c>
      <c r="H34" s="52">
        <f>100*'14'!H34/'9'!I46</f>
        <v>-15349.101408173317</v>
      </c>
      <c r="I34" s="52">
        <f>100*'14'!I34/'9'!J46</f>
        <v>76.538824052377535</v>
      </c>
      <c r="J34" s="7">
        <v>1991</v>
      </c>
      <c r="K34" s="20">
        <f t="shared" si="0"/>
        <v>84.088588177267241</v>
      </c>
      <c r="L34" s="20">
        <f t="shared" si="1"/>
        <v>80.883562757400057</v>
      </c>
      <c r="M34" s="20">
        <f t="shared" si="2"/>
        <v>-7443.4702405286744</v>
      </c>
      <c r="N34" s="20">
        <f t="shared" si="3"/>
        <v>-7404.3704733409422</v>
      </c>
    </row>
    <row r="35" spans="1:14" s="42" customFormat="1">
      <c r="A35" s="13">
        <v>2012</v>
      </c>
      <c r="B35" s="52">
        <f>100*'14'!B35/'9'!C47</f>
        <v>82.16989531631134</v>
      </c>
      <c r="C35" s="52">
        <f>100*'14'!C35/'9'!D47</f>
        <v>80.963219926409792</v>
      </c>
      <c r="D35" s="52">
        <f>100*'14'!D35/'9'!E47</f>
        <v>79.570651762298368</v>
      </c>
      <c r="E35" s="52">
        <f>100*'14'!E35/'9'!F47</f>
        <v>78.418429280013939</v>
      </c>
      <c r="F35" s="52">
        <f>100*'14'!F35/'9'!G47</f>
        <v>-15629.750501938266</v>
      </c>
      <c r="G35" s="52">
        <f>100*'14'!G35/'9'!H47</f>
        <v>80.55474211225733</v>
      </c>
      <c r="H35" s="52">
        <f>100*'14'!H35/'9'!I47</f>
        <v>-15369.366668760587</v>
      </c>
      <c r="I35" s="52">
        <f>100*'14'!I35/'9'!J47</f>
        <v>72.847780151484116</v>
      </c>
      <c r="J35" s="43"/>
      <c r="K35" s="39"/>
      <c r="L35" s="39"/>
      <c r="M35" s="39"/>
      <c r="N35" s="39"/>
    </row>
    <row r="36" spans="1:14" s="42" customFormat="1">
      <c r="A36" s="13">
        <v>2013</v>
      </c>
      <c r="B36" s="52">
        <f>100*'14'!B36/'9'!C48</f>
        <v>83.626096373108723</v>
      </c>
      <c r="C36" s="52">
        <f>100*'14'!C36/'9'!D48</f>
        <v>82.835001358083275</v>
      </c>
      <c r="D36" s="52">
        <f>100*'14'!D36/'9'!E48</f>
        <v>81.235890301459563</v>
      </c>
      <c r="E36" s="52">
        <f>100*'14'!E36/'9'!F48</f>
        <v>80.477728387654523</v>
      </c>
      <c r="F36" s="52">
        <f>100*'14'!F36/'9'!G48</f>
        <v>-16065.949207653328</v>
      </c>
      <c r="G36" s="52">
        <f>100*'14'!G36/'9'!H48</f>
        <v>82.422359109564752</v>
      </c>
      <c r="H36" s="52">
        <f>100*'14'!H36/'9'!I48</f>
        <v>-15808.760708160717</v>
      </c>
      <c r="I36" s="52">
        <f>100*'14'!I36/'9'!J48</f>
        <v>74.845259014767137</v>
      </c>
      <c r="J36" s="43"/>
      <c r="K36" s="39"/>
      <c r="L36" s="39"/>
      <c r="M36" s="39"/>
      <c r="N36" s="39"/>
    </row>
    <row r="37" spans="1:14" s="42" customFormat="1">
      <c r="A37" s="13">
        <v>2014</v>
      </c>
      <c r="B37" s="52">
        <f>100*'14'!B37/'9'!C49</f>
        <v>83.331020537096819</v>
      </c>
      <c r="C37" s="52">
        <f>100*'14'!C37/'9'!D49</f>
        <v>81.932412829101352</v>
      </c>
      <c r="D37" s="52">
        <f>100*'14'!D37/'9'!E49</f>
        <v>80.868961163951099</v>
      </c>
      <c r="E37" s="52">
        <f>100*'14'!E37/'9'!F49</f>
        <v>79.530278630731743</v>
      </c>
      <c r="F37" s="52">
        <f>100*'14'!F37/'9'!G49</f>
        <v>-15988.130690543396</v>
      </c>
      <c r="G37" s="52">
        <f>100*'14'!G37/'9'!H49</f>
        <v>81.548592838081206</v>
      </c>
      <c r="H37" s="52">
        <f>100*'14'!H37/'9'!I49</f>
        <v>-15731.164996227051</v>
      </c>
      <c r="I37" s="52">
        <f>100*'14'!I37/'9'!J49</f>
        <v>73.576556179417324</v>
      </c>
      <c r="J37" s="43"/>
      <c r="K37" s="39"/>
      <c r="L37" s="39"/>
      <c r="M37" s="39"/>
      <c r="N37" s="39"/>
    </row>
    <row r="38" spans="1:14" s="42" customFormat="1">
      <c r="A38" s="13">
        <v>2015</v>
      </c>
      <c r="B38" s="52">
        <f>100*'14'!B38/'9'!C50</f>
        <v>78.766241611150249</v>
      </c>
      <c r="C38" s="52">
        <f>100*'14'!C38/'9'!D50</f>
        <v>77.679454903921666</v>
      </c>
      <c r="D38" s="52">
        <f>100*'14'!D38/'9'!E50</f>
        <v>76.608477828611299</v>
      </c>
      <c r="E38" s="52">
        <f>100*'14'!E38/'9'!F50</f>
        <v>75.563844698679176</v>
      </c>
      <c r="F38" s="52">
        <f>100*'14'!F38/'9'!G50</f>
        <v>-16035.552142013952</v>
      </c>
      <c r="G38" s="52">
        <f>100*'14'!G38/'9'!H50</f>
        <v>76.381897834617348</v>
      </c>
      <c r="H38" s="52">
        <f>100*'14'!H38/'9'!I50</f>
        <v>-15803.272510781577</v>
      </c>
      <c r="I38" s="52">
        <f>100*'14'!I38/'9'!J50</f>
        <v>69.2792021239364</v>
      </c>
      <c r="J38" s="43"/>
      <c r="K38" s="39"/>
      <c r="L38" s="39"/>
      <c r="M38" s="39"/>
      <c r="N38" s="39"/>
    </row>
    <row r="39" spans="1:14" s="42" customFormat="1">
      <c r="A39" s="13">
        <v>2016</v>
      </c>
      <c r="B39" s="52">
        <f>100*'14'!B39/'9'!C51</f>
        <v>78.087667089490097</v>
      </c>
      <c r="C39" s="52">
        <f>100*'14'!C39/'9'!D51</f>
        <v>77.561529660377147</v>
      </c>
      <c r="D39" s="52">
        <f>100*'14'!D39/'9'!E51</f>
        <v>76.269738891598237</v>
      </c>
      <c r="E39" s="52">
        <f>100*'14'!E39/'9'!F51</f>
        <v>75.761658329200259</v>
      </c>
      <c r="F39" s="52">
        <f>100*'14'!F39/'9'!G51</f>
        <v>-16037.247069583051</v>
      </c>
      <c r="G39" s="52">
        <f>100*'14'!G39/'9'!H51</f>
        <v>76.200371326732352</v>
      </c>
      <c r="H39" s="52">
        <f>100*'14'!H39/'9'!I51</f>
        <v>-15821.628702618387</v>
      </c>
      <c r="I39" s="52">
        <f>100*'14'!I39/'9'!J51</f>
        <v>69.702356506036054</v>
      </c>
      <c r="J39" s="43"/>
      <c r="K39" s="39"/>
      <c r="L39" s="39"/>
      <c r="M39" s="39"/>
      <c r="N39" s="39"/>
    </row>
    <row r="40" spans="1:14" s="42" customFormat="1">
      <c r="A40" s="13">
        <v>2017</v>
      </c>
      <c r="B40" s="52">
        <f>100*'14'!B40/'9'!C52</f>
        <v>78.283526530860115</v>
      </c>
      <c r="C40" s="52">
        <f>100*'14'!C40/'9'!D52</f>
        <v>77.712410862946001</v>
      </c>
      <c r="D40" s="52">
        <f>100*'14'!D40/'9'!E52</f>
        <v>76.481824476852552</v>
      </c>
      <c r="E40" s="52">
        <f>100*'14'!E40/'9'!F52</f>
        <v>75.931077751143377</v>
      </c>
      <c r="F40" s="52">
        <f>100*'14'!F40/'9'!G52</f>
        <v>-15319.728762995688</v>
      </c>
      <c r="G40" s="52">
        <f>100*'14'!G40/'9'!H52</f>
        <v>77.09895217953347</v>
      </c>
      <c r="H40" s="52">
        <f>100*'14'!H40/'9'!I52</f>
        <v>-15095.990003660239</v>
      </c>
      <c r="I40" s="52">
        <f>100*'14'!I40/'9'!J52</f>
        <v>70.647061296047085</v>
      </c>
      <c r="J40" s="43"/>
      <c r="K40" s="39"/>
      <c r="L40" s="39"/>
      <c r="M40" s="39"/>
      <c r="N40" s="39"/>
    </row>
    <row r="41" spans="1:14" s="42" customFormat="1">
      <c r="A41" s="13">
        <v>2018</v>
      </c>
      <c r="B41" s="52">
        <f>100*'14'!B41/'9'!C53</f>
        <v>76.759378217691776</v>
      </c>
      <c r="C41" s="52">
        <f>100*'14'!C41/'9'!D53</f>
        <v>76.581135690698829</v>
      </c>
      <c r="D41" s="52">
        <f>100*'14'!D41/'9'!E53</f>
        <v>74.81768876896426</v>
      </c>
      <c r="E41" s="52">
        <f>100*'14'!E41/'9'!F53</f>
        <v>74.646138057810234</v>
      </c>
      <c r="F41" s="52">
        <f>100*'14'!F41/'9'!G53</f>
        <v>-15026.531537726303</v>
      </c>
      <c r="G41" s="52">
        <f>100*'14'!G41/'9'!H53</f>
        <v>76.023939099612676</v>
      </c>
      <c r="H41" s="52">
        <f>100*'14'!H41/'9'!I53</f>
        <v>-14802.999394783175</v>
      </c>
      <c r="I41" s="52">
        <f>100*'14'!I41/'9'!J53</f>
        <v>69.676751505889399</v>
      </c>
      <c r="J41" s="43"/>
      <c r="K41" s="39"/>
      <c r="L41" s="39"/>
      <c r="M41" s="39"/>
      <c r="N41" s="39"/>
    </row>
    <row r="42" spans="1:14">
      <c r="A42" s="21"/>
      <c r="B42" s="39"/>
      <c r="C42" s="39"/>
      <c r="D42" s="39"/>
      <c r="E42" s="39"/>
      <c r="F42" s="39"/>
      <c r="G42" s="39"/>
      <c r="H42" s="39"/>
      <c r="I42" s="52"/>
      <c r="J42" s="7">
        <v>1992</v>
      </c>
      <c r="K42" s="20">
        <f t="shared" ref="K42:K47" si="4">AVERAGE(B15:C15)</f>
        <v>82.147184405984063</v>
      </c>
      <c r="L42" s="20">
        <f t="shared" ref="L42:L47" si="5">AVERAGE(D15:E15)</f>
        <v>78.822979576516389</v>
      </c>
      <c r="M42" s="20">
        <f t="shared" ref="M42:M47" si="6">AVERAGE(F15:G15)</f>
        <v>-7304.7472321919231</v>
      </c>
      <c r="N42" s="20">
        <f t="shared" ref="N42:N47" si="7">AVERAGE(H15:I15)</f>
        <v>-7269.8023138580111</v>
      </c>
    </row>
    <row r="43" spans="1:14">
      <c r="A43" s="5" t="s">
        <v>139</v>
      </c>
      <c r="B43" s="5"/>
      <c r="C43" s="41"/>
      <c r="D43" s="41"/>
      <c r="E43" s="41"/>
      <c r="F43" s="41"/>
      <c r="G43" s="41"/>
      <c r="H43" s="41"/>
      <c r="I43" s="45"/>
      <c r="J43" s="7">
        <v>1993</v>
      </c>
      <c r="K43" s="20">
        <f t="shared" si="4"/>
        <v>82.393526743338157</v>
      </c>
      <c r="L43" s="20">
        <f t="shared" si="5"/>
        <v>79.228926360355786</v>
      </c>
      <c r="M43" s="20">
        <f t="shared" si="6"/>
        <v>-7201.6461304244822</v>
      </c>
      <c r="N43" s="20">
        <f t="shared" si="7"/>
        <v>-7169.1204015056674</v>
      </c>
    </row>
    <row r="44" spans="1:14">
      <c r="A44" s="66" t="s">
        <v>138</v>
      </c>
      <c r="B44" s="57">
        <f t="shared" ref="B44:I44" si="8">100*((B12/B4)^(1/8)-1)</f>
        <v>-0.96893240939419645</v>
      </c>
      <c r="C44" s="57">
        <f t="shared" si="8"/>
        <v>-0.96637355608705233</v>
      </c>
      <c r="D44" s="57">
        <f t="shared" si="8"/>
        <v>-0.90919535283228159</v>
      </c>
      <c r="E44" s="57">
        <f t="shared" si="8"/>
        <v>-0.90617047775994886</v>
      </c>
      <c r="F44" s="57">
        <f t="shared" si="8"/>
        <v>-1.6754666089798809</v>
      </c>
      <c r="G44" s="57">
        <f t="shared" si="8"/>
        <v>-0.89730590868697391</v>
      </c>
      <c r="H44" s="57">
        <f t="shared" si="8"/>
        <v>-1.5907168379868386</v>
      </c>
      <c r="I44" s="58">
        <f t="shared" si="8"/>
        <v>-0.63050896717168348</v>
      </c>
      <c r="J44" s="7">
        <v>1994</v>
      </c>
      <c r="K44" s="20">
        <f t="shared" si="4"/>
        <v>82.715496525243452</v>
      </c>
      <c r="L44" s="20">
        <f t="shared" si="5"/>
        <v>79.499436263497387</v>
      </c>
      <c r="M44" s="20">
        <f t="shared" si="6"/>
        <v>-7185.3128958935504</v>
      </c>
      <c r="N44" s="20">
        <f t="shared" si="7"/>
        <v>-7164.5210767385079</v>
      </c>
    </row>
    <row r="45" spans="1:14">
      <c r="A45" s="67" t="s">
        <v>27</v>
      </c>
      <c r="B45" s="10">
        <f>100*((B23/B12)^(1/11)-1)</f>
        <v>-0.64549825258377602</v>
      </c>
      <c r="C45" s="10">
        <f>100*((C23/C12)^(1/11)-1)</f>
        <v>-0.83945685340436338</v>
      </c>
      <c r="D45" s="10">
        <f t="shared" ref="D45:I45" si="9">100*((D23/D12)^(1/11)-1)</f>
        <v>-0.56084166883217934</v>
      </c>
      <c r="E45" s="10">
        <f>100*((E23/E12)^(1/11)-1)</f>
        <v>-0.75419672897578671</v>
      </c>
      <c r="F45" s="10">
        <f t="shared" si="9"/>
        <v>-0.61387063796053409</v>
      </c>
      <c r="G45" s="10">
        <f t="shared" si="9"/>
        <v>-0.8934622262856351</v>
      </c>
      <c r="H45" s="10">
        <f t="shared" si="9"/>
        <v>-0.60395229873040357</v>
      </c>
      <c r="I45" s="11">
        <f t="shared" si="9"/>
        <v>-0.74579198423642135</v>
      </c>
      <c r="J45" s="7">
        <v>1995</v>
      </c>
      <c r="K45" s="20">
        <f t="shared" si="4"/>
        <v>82.534700162688452</v>
      </c>
      <c r="L45" s="20">
        <f t="shared" si="5"/>
        <v>79.398615661634281</v>
      </c>
      <c r="M45" s="20">
        <f t="shared" si="6"/>
        <v>-7162.8079212141038</v>
      </c>
      <c r="N45" s="20">
        <f t="shared" si="7"/>
        <v>-7137.7378929929537</v>
      </c>
    </row>
    <row r="46" spans="1:14">
      <c r="A46" s="67" t="s">
        <v>28</v>
      </c>
      <c r="B46" s="10">
        <f>100*((B31/B23)^(1/8)-1)</f>
        <v>0.41316511015490054</v>
      </c>
      <c r="C46" s="10">
        <f>100*((C31/C23)^(1/8)-1)</f>
        <v>0.68805630599735323</v>
      </c>
      <c r="D46" s="10">
        <f t="shared" ref="D46:I46" si="10">100*((D31/D23)^(1/8)-1)</f>
        <v>0.47274200221931739</v>
      </c>
      <c r="E46" s="10">
        <f t="shared" si="10"/>
        <v>0.74583293393786221</v>
      </c>
      <c r="F46" s="10">
        <f>100*((F31/F23)^(1/8)-1)</f>
        <v>1.0709454341237379</v>
      </c>
      <c r="G46" s="10">
        <f t="shared" si="10"/>
        <v>0.84805136040537743</v>
      </c>
      <c r="H46" s="10">
        <f t="shared" si="10"/>
        <v>0.9633385419163254</v>
      </c>
      <c r="I46" s="11">
        <f t="shared" si="10"/>
        <v>0.72080009151742619</v>
      </c>
      <c r="J46" s="7">
        <v>1996</v>
      </c>
      <c r="K46" s="20">
        <f t="shared" si="4"/>
        <v>80.717206093482631</v>
      </c>
      <c r="L46" s="20">
        <f t="shared" si="5"/>
        <v>77.736663629484298</v>
      </c>
      <c r="M46" s="20">
        <f t="shared" si="6"/>
        <v>-7077.9959072729143</v>
      </c>
      <c r="N46" s="20">
        <f t="shared" si="7"/>
        <v>-7051.5099691957885</v>
      </c>
    </row>
    <row r="47" spans="1:14">
      <c r="A47" s="68" t="s">
        <v>155</v>
      </c>
      <c r="B47" s="59">
        <f>100*((B31/B4)^(1/27)-1)</f>
        <v>-0.42923326167773057</v>
      </c>
      <c r="C47" s="59">
        <f t="shared" ref="C47:I47" si="11">100*((C31/C4)^(1/27)-1)</f>
        <v>-0.4270849231734597</v>
      </c>
      <c r="D47" s="59">
        <f t="shared" si="11"/>
        <v>-0.35936859298394408</v>
      </c>
      <c r="E47" s="59">
        <f t="shared" si="11"/>
        <v>-0.3573412515989971</v>
      </c>
      <c r="F47" s="59">
        <f t="shared" si="11"/>
        <v>-0.43492800853498492</v>
      </c>
      <c r="G47" s="59">
        <f t="shared" si="11"/>
        <v>-0.38176185831065856</v>
      </c>
      <c r="H47" s="59">
        <f t="shared" si="11"/>
        <v>-0.43688841680437074</v>
      </c>
      <c r="I47" s="60">
        <f t="shared" si="11"/>
        <v>-0.2791939231923446</v>
      </c>
      <c r="J47" s="7">
        <v>1997</v>
      </c>
      <c r="K47" s="20">
        <f t="shared" si="4"/>
        <v>80.511822002790581</v>
      </c>
      <c r="L47" s="20">
        <f t="shared" si="5"/>
        <v>77.802766735642678</v>
      </c>
      <c r="M47" s="20">
        <f t="shared" si="6"/>
        <v>-7090.0752801641456</v>
      </c>
      <c r="N47" s="20">
        <f t="shared" si="7"/>
        <v>-7072.3460084368171</v>
      </c>
    </row>
    <row r="48" spans="1:14" s="42" customFormat="1">
      <c r="A48" s="13"/>
      <c r="B48" s="10"/>
      <c r="C48" s="10"/>
      <c r="D48" s="10"/>
      <c r="E48" s="10"/>
      <c r="F48" s="10"/>
      <c r="G48" s="10"/>
      <c r="H48" s="10"/>
      <c r="I48" s="10"/>
      <c r="J48" s="43"/>
      <c r="K48" s="39"/>
      <c r="L48" s="39"/>
      <c r="M48" s="39"/>
      <c r="N48" s="39"/>
    </row>
    <row r="49" spans="1:16">
      <c r="A49" s="69" t="s">
        <v>140</v>
      </c>
      <c r="B49" s="70"/>
      <c r="C49" s="41"/>
      <c r="D49" s="41"/>
      <c r="E49" s="41"/>
      <c r="F49" s="41"/>
      <c r="G49" s="41"/>
      <c r="H49" s="41"/>
      <c r="I49" s="41"/>
      <c r="J49" s="7">
        <v>1998</v>
      </c>
      <c r="K49" s="20">
        <f>AVERAGE(B21:C21)</f>
        <v>80.012379868383718</v>
      </c>
      <c r="L49" s="20">
        <f>AVERAGE(D21:E21)</f>
        <v>77.172588142577979</v>
      </c>
      <c r="M49" s="20">
        <f>AVERAGE(F21:G21)</f>
        <v>-7292.4736722817233</v>
      </c>
      <c r="N49" s="20">
        <f>AVERAGE(H21:I21)</f>
        <v>-7280.972055947791</v>
      </c>
    </row>
    <row r="50" spans="1:16" s="42" customFormat="1">
      <c r="A50" s="66" t="s">
        <v>202</v>
      </c>
      <c r="B50" s="72">
        <f>((B41/B4)^(1/37)-1)*100</f>
        <v>-0.5462224955224193</v>
      </c>
      <c r="C50" s="72">
        <f t="shared" ref="C50:I50" si="12">((C41/C4)^(1/37)-1)*100</f>
        <v>-0.58450384852788417</v>
      </c>
      <c r="D50" s="72">
        <f t="shared" si="12"/>
        <v>-0.49627311275384223</v>
      </c>
      <c r="E50" s="72">
        <f t="shared" si="12"/>
        <v>-0.53425072657546924</v>
      </c>
      <c r="F50" s="72">
        <f t="shared" si="12"/>
        <v>-0.37286992696170529</v>
      </c>
      <c r="G50" s="72">
        <f t="shared" si="12"/>
        <v>-0.5949310399156249</v>
      </c>
      <c r="H50" s="72">
        <f t="shared" si="12"/>
        <v>-0.38142720090447169</v>
      </c>
      <c r="I50" s="72">
        <f t="shared" si="12"/>
        <v>-0.50967629341669429</v>
      </c>
      <c r="J50" s="21"/>
      <c r="K50" s="39"/>
      <c r="L50" s="39"/>
      <c r="M50" s="39"/>
      <c r="N50" s="39"/>
    </row>
    <row r="51" spans="1:16">
      <c r="A51" s="67" t="s">
        <v>200</v>
      </c>
      <c r="B51" s="73">
        <f>((B41/B23)^(1/18)-1)*100</f>
        <v>-0.29694032035866291</v>
      </c>
      <c r="C51" s="73">
        <f t="shared" ref="C51:I51" si="13">((C41/C23)^(1/18)-1)*100</f>
        <v>-0.25791718565639776</v>
      </c>
      <c r="D51" s="73">
        <f t="shared" si="13"/>
        <v>-0.27264798891831754</v>
      </c>
      <c r="E51" s="73">
        <f t="shared" si="13"/>
        <v>-0.23362959376613812</v>
      </c>
      <c r="F51" s="73">
        <f t="shared" si="13"/>
        <v>0.36001910371596946</v>
      </c>
      <c r="G51" s="73">
        <f t="shared" si="13"/>
        <v>-0.27712021980160761</v>
      </c>
      <c r="H51" s="73">
        <f t="shared" si="13"/>
        <v>0.29776824430554072</v>
      </c>
      <c r="I51" s="73">
        <f t="shared" si="13"/>
        <v>-0.3112782747323406</v>
      </c>
      <c r="J51" s="10">
        <f t="shared" ref="J51:O51" si="14">((J35/J23)^(1/13)-1)*100</f>
        <v>-100</v>
      </c>
      <c r="K51" s="73" t="e">
        <f t="shared" si="14"/>
        <v>#REF!</v>
      </c>
      <c r="L51" s="73" t="e">
        <f t="shared" si="14"/>
        <v>#REF!</v>
      </c>
      <c r="M51" s="73" t="e">
        <f t="shared" si="14"/>
        <v>#REF!</v>
      </c>
      <c r="N51" s="73" t="e">
        <f t="shared" si="14"/>
        <v>#REF!</v>
      </c>
      <c r="O51" s="73" t="e">
        <f t="shared" si="14"/>
        <v>#DIV/0!</v>
      </c>
    </row>
    <row r="52" spans="1:16">
      <c r="A52" s="79" t="s">
        <v>201</v>
      </c>
      <c r="B52" s="74">
        <f>((B41/B31)^(1/10)-1)*100</f>
        <v>-0.86140729715981079</v>
      </c>
      <c r="C52" s="74">
        <f t="shared" ref="C52:I52" si="15">((C41/C31)^(1/10)-1)*100</f>
        <v>-1.0082929543485997</v>
      </c>
      <c r="D52" s="74">
        <f t="shared" si="15"/>
        <v>-0.86497646570972142</v>
      </c>
      <c r="E52" s="74">
        <f t="shared" si="15"/>
        <v>-1.0103389973949772</v>
      </c>
      <c r="F52" s="74">
        <f t="shared" si="15"/>
        <v>-0.20511983043561832</v>
      </c>
      <c r="G52" s="74">
        <f t="shared" si="15"/>
        <v>-1.168212110756206</v>
      </c>
      <c r="H52" s="74">
        <f t="shared" si="15"/>
        <v>-0.23152755153579285</v>
      </c>
      <c r="I52" s="74">
        <f t="shared" si="15"/>
        <v>-1.1293212975726163</v>
      </c>
      <c r="J52" s="59">
        <f t="shared" ref="J52:O52" si="16">((J35/J31)^(1/4)-1)*100</f>
        <v>-100</v>
      </c>
      <c r="K52" s="74">
        <f t="shared" si="16"/>
        <v>-100</v>
      </c>
      <c r="L52" s="74">
        <f t="shared" si="16"/>
        <v>-100</v>
      </c>
      <c r="M52" s="74">
        <f t="shared" si="16"/>
        <v>-100</v>
      </c>
      <c r="N52" s="74">
        <f t="shared" si="16"/>
        <v>-100</v>
      </c>
      <c r="O52" s="74" t="e">
        <f t="shared" si="16"/>
        <v>#DIV/0!</v>
      </c>
    </row>
    <row r="53" spans="1:16">
      <c r="J53" s="7">
        <v>2001</v>
      </c>
      <c r="K53" s="20">
        <f>AVERAGE(B24:C24)</f>
        <v>81.138268063122609</v>
      </c>
      <c r="L53" s="20">
        <f>AVERAGE(D24:E24)</f>
        <v>78.493911484527075</v>
      </c>
      <c r="M53" s="20">
        <f>AVERAGE(F24:G24)</f>
        <v>-7282.8224758420838</v>
      </c>
      <c r="N53" s="20">
        <f>AVERAGE(H24:I24)</f>
        <v>-7247.8351814988937</v>
      </c>
    </row>
    <row r="54" spans="1:16" ht="15" customHeight="1">
      <c r="A54" s="174" t="s">
        <v>163</v>
      </c>
      <c r="B54" s="174"/>
      <c r="C54" s="174"/>
      <c r="D54" s="174"/>
      <c r="E54" s="174"/>
      <c r="F54" s="174"/>
      <c r="G54" s="174"/>
      <c r="H54" s="174"/>
      <c r="I54" s="174"/>
      <c r="J54" s="7">
        <v>2002</v>
      </c>
      <c r="K54" s="20">
        <f>AVERAGE(B25:C25)</f>
        <v>81.389883299813647</v>
      </c>
      <c r="L54" s="20">
        <f>AVERAGE(D25:E25)</f>
        <v>79.004652657937186</v>
      </c>
      <c r="M54" s="20">
        <f>AVERAGE(F25:G25)</f>
        <v>-7309.0571879960435</v>
      </c>
      <c r="N54" s="20">
        <f>AVERAGE(H25:I25)</f>
        <v>-7277.4516659778328</v>
      </c>
    </row>
    <row r="55" spans="1:16" ht="15" customHeight="1">
      <c r="A55" s="174" t="s">
        <v>118</v>
      </c>
      <c r="B55" s="174"/>
      <c r="C55" s="174"/>
      <c r="D55" s="174"/>
      <c r="E55" s="174"/>
      <c r="F55" s="174"/>
      <c r="G55" s="174"/>
      <c r="H55" s="174"/>
      <c r="I55" s="174"/>
      <c r="J55" s="12">
        <f t="shared" ref="J55:O55" si="17">100*((J12/J4)^(1/8)-1)</f>
        <v>5.0903607025776232E-2</v>
      </c>
      <c r="K55" s="12" t="e">
        <f t="shared" si="17"/>
        <v>#REF!</v>
      </c>
      <c r="L55" s="12" t="e">
        <f t="shared" si="17"/>
        <v>#REF!</v>
      </c>
      <c r="M55" s="12" t="e">
        <f t="shared" si="17"/>
        <v>#REF!</v>
      </c>
      <c r="N55" s="12" t="e">
        <f t="shared" si="17"/>
        <v>#REF!</v>
      </c>
      <c r="O55" s="12" t="e">
        <f t="shared" si="17"/>
        <v>#DIV/0!</v>
      </c>
    </row>
    <row r="56" spans="1:16">
      <c r="J56" s="12">
        <f t="shared" ref="J56:O56" si="18">100*((J23/J4)^(1/19)-1)</f>
        <v>5.0761813619892848E-2</v>
      </c>
      <c r="K56" s="12" t="e">
        <f t="shared" si="18"/>
        <v>#REF!</v>
      </c>
      <c r="L56" s="12" t="e">
        <f t="shared" si="18"/>
        <v>#REF!</v>
      </c>
      <c r="M56" s="12" t="e">
        <f t="shared" si="18"/>
        <v>#REF!</v>
      </c>
      <c r="N56" s="12" t="e">
        <f t="shared" si="18"/>
        <v>#REF!</v>
      </c>
      <c r="O56" s="12" t="e">
        <f t="shared" si="18"/>
        <v>#DIV/0!</v>
      </c>
    </row>
    <row r="57" spans="1:16">
      <c r="J57" s="7">
        <v>2005</v>
      </c>
      <c r="K57" s="20">
        <f>AVERAGE(B28:C28)</f>
        <v>82.407862326908088</v>
      </c>
      <c r="L57" s="20">
        <f>AVERAGE(D28:E28)</f>
        <v>80.243759326869935</v>
      </c>
      <c r="M57" s="20">
        <f>AVERAGE(F28:G28)</f>
        <v>-6900.7167714961033</v>
      </c>
      <c r="N57" s="20">
        <f>AVERAGE(H28:I28)</f>
        <v>-6857.0675117041965</v>
      </c>
    </row>
    <row r="58" spans="1:16">
      <c r="J58" s="7">
        <v>2006</v>
      </c>
      <c r="K58" s="20">
        <f>AVERAGE(B29:C29)</f>
        <v>81.928657221489175</v>
      </c>
      <c r="L58" s="20">
        <f>AVERAGE(D29:E29)</f>
        <v>80.333366913046433</v>
      </c>
      <c r="M58" s="20">
        <f>AVERAGE(F29:G29)</f>
        <v>-7057.2608376746593</v>
      </c>
      <c r="N58" s="20">
        <f>AVERAGE(H29:I29)</f>
        <v>-7031.2339213624182</v>
      </c>
    </row>
    <row r="59" spans="1:16">
      <c r="J59" s="7">
        <v>2007</v>
      </c>
      <c r="K59" s="20">
        <f>AVERAGE(B30:C30)</f>
        <v>82.702096746013183</v>
      </c>
      <c r="L59" s="20">
        <f>AVERAGE(D30:E30)</f>
        <v>80.874381655867069</v>
      </c>
      <c r="M59" s="20">
        <f>AVERAGE(F30:G30)</f>
        <v>-7218.6615098665761</v>
      </c>
      <c r="N59" s="20">
        <f>AVERAGE(H30:I30)</f>
        <v>-7159.0096943118433</v>
      </c>
    </row>
    <row r="60" spans="1:16">
      <c r="J60" s="7">
        <v>2008</v>
      </c>
      <c r="K60" s="20">
        <f>AVERAGE(B31:C31)</f>
        <v>84.222338390088311</v>
      </c>
      <c r="L60" s="20">
        <f>AVERAGE(D31:E31)</f>
        <v>82.116301144704124</v>
      </c>
      <c r="M60" s="20">
        <f>AVERAGE(F31:G31)</f>
        <v>-7626.3789921913676</v>
      </c>
      <c r="N60" s="20">
        <f>AVERAGE(H31:I31)</f>
        <v>-7536.0387564032853</v>
      </c>
    </row>
    <row r="61" spans="1:16" s="42" customFormat="1">
      <c r="A61" s="15"/>
      <c r="B61" s="15"/>
      <c r="C61" s="15"/>
      <c r="D61" s="15"/>
      <c r="E61" s="15"/>
      <c r="F61" s="15"/>
      <c r="G61" s="15"/>
      <c r="H61" s="15"/>
      <c r="I61" s="15"/>
      <c r="J61" s="21"/>
      <c r="K61" s="39"/>
      <c r="L61" s="39"/>
      <c r="M61" s="39"/>
      <c r="N61" s="39"/>
    </row>
    <row r="62" spans="1:16" s="42" customFormat="1">
      <c r="A62" s="15"/>
      <c r="B62" s="15"/>
      <c r="C62" s="15"/>
      <c r="D62" s="15"/>
      <c r="E62" s="15"/>
      <c r="F62" s="15"/>
      <c r="G62" s="15"/>
      <c r="H62" s="15"/>
      <c r="I62" s="15"/>
      <c r="J62" s="21"/>
      <c r="K62" s="39"/>
      <c r="L62" s="39"/>
      <c r="M62" s="39"/>
      <c r="N62" s="39"/>
    </row>
    <row r="63" spans="1:16" s="42" customFormat="1">
      <c r="A63" s="15"/>
      <c r="B63" s="15"/>
      <c r="C63" s="15"/>
      <c r="D63" s="15"/>
      <c r="E63" s="15"/>
      <c r="F63" s="15"/>
      <c r="G63" s="15"/>
      <c r="H63" s="15"/>
      <c r="I63" s="15"/>
      <c r="J63" s="21"/>
      <c r="K63" s="39"/>
      <c r="L63" s="39"/>
      <c r="M63" s="39"/>
      <c r="N63" s="39"/>
    </row>
    <row r="64" spans="1:16" s="42" customFormat="1">
      <c r="A64" s="15"/>
      <c r="B64" s="15"/>
      <c r="C64" s="15"/>
      <c r="D64" s="15"/>
      <c r="E64" s="15"/>
      <c r="F64" s="15"/>
      <c r="G64" s="15"/>
      <c r="H64" s="15"/>
      <c r="I64" s="15"/>
      <c r="J64" s="21"/>
      <c r="K64" s="39"/>
      <c r="L64" s="39"/>
      <c r="M64" s="39"/>
      <c r="N64" s="39"/>
      <c r="P64" s="9"/>
    </row>
    <row r="65" spans="1:14" s="42" customFormat="1">
      <c r="A65" s="15"/>
      <c r="B65" s="15"/>
      <c r="C65" s="15"/>
      <c r="D65" s="15"/>
      <c r="E65" s="15"/>
      <c r="F65" s="15"/>
      <c r="G65" s="15"/>
      <c r="H65" s="15"/>
      <c r="I65" s="15"/>
    </row>
    <row r="66" spans="1:14" s="42" customFormat="1">
      <c r="A66" s="15"/>
      <c r="B66" s="15"/>
      <c r="C66" s="15"/>
      <c r="D66" s="15"/>
      <c r="E66" s="15"/>
      <c r="F66" s="15"/>
      <c r="G66" s="15"/>
      <c r="H66" s="15"/>
      <c r="I66" s="15"/>
    </row>
    <row r="67" spans="1:14" s="42" customFormat="1">
      <c r="A67" s="15"/>
      <c r="B67" s="15"/>
      <c r="C67" s="15"/>
      <c r="D67" s="15"/>
      <c r="E67" s="15"/>
      <c r="F67" s="15"/>
      <c r="G67" s="15"/>
      <c r="H67" s="15"/>
      <c r="I67" s="15"/>
    </row>
    <row r="68" spans="1:14" s="42" customFormat="1">
      <c r="A68" s="15"/>
      <c r="B68" s="15"/>
      <c r="C68" s="15"/>
      <c r="D68" s="15"/>
      <c r="E68" s="15"/>
      <c r="F68" s="15"/>
      <c r="G68" s="15"/>
      <c r="H68" s="15"/>
      <c r="I68" s="15"/>
    </row>
    <row r="69" spans="1:14" s="42" customFormat="1">
      <c r="A69" s="15"/>
      <c r="B69" s="15"/>
      <c r="C69" s="15"/>
      <c r="D69" s="15"/>
      <c r="E69" s="15"/>
      <c r="F69" s="15"/>
      <c r="G69" s="15"/>
      <c r="H69" s="15"/>
      <c r="I69" s="15"/>
    </row>
    <row r="70" spans="1:14" s="42" customFormat="1">
      <c r="A70" s="15"/>
      <c r="B70" s="15"/>
      <c r="C70" s="15"/>
      <c r="D70" s="15"/>
      <c r="E70" s="15"/>
      <c r="F70" s="15"/>
      <c r="G70" s="15"/>
      <c r="H70" s="15"/>
      <c r="I70" s="15"/>
    </row>
    <row r="71" spans="1:14" s="42" customFormat="1">
      <c r="A71" s="15"/>
      <c r="B71" s="15"/>
      <c r="C71" s="15"/>
      <c r="D71" s="15"/>
      <c r="E71" s="15"/>
      <c r="F71" s="15"/>
      <c r="G71" s="15"/>
      <c r="H71" s="15"/>
      <c r="I71" s="15"/>
    </row>
    <row r="72" spans="1:14" s="42" customFormat="1">
      <c r="A72" s="15"/>
      <c r="B72" s="15"/>
      <c r="C72" s="15"/>
      <c r="D72" s="15"/>
      <c r="E72" s="15"/>
      <c r="F72" s="15"/>
      <c r="G72" s="15"/>
      <c r="H72" s="15"/>
      <c r="I72" s="15"/>
    </row>
    <row r="73" spans="1:14" s="42" customFormat="1">
      <c r="A73" s="15"/>
      <c r="B73" s="15"/>
      <c r="C73" s="15"/>
      <c r="D73" s="15"/>
      <c r="E73" s="15"/>
      <c r="F73" s="15"/>
      <c r="G73" s="15"/>
      <c r="H73" s="15"/>
      <c r="I73" s="15"/>
    </row>
    <row r="74" spans="1:14" s="42" customFormat="1">
      <c r="A74" s="15"/>
      <c r="B74" s="15"/>
      <c r="C74" s="15"/>
      <c r="D74" s="15"/>
      <c r="E74" s="15"/>
      <c r="F74" s="15"/>
      <c r="G74" s="15"/>
      <c r="H74" s="15"/>
      <c r="I74" s="15"/>
    </row>
    <row r="75" spans="1:14" s="42" customFormat="1">
      <c r="A75" s="15"/>
      <c r="B75" s="15"/>
      <c r="C75" s="15"/>
      <c r="D75" s="15"/>
      <c r="E75" s="15"/>
      <c r="F75" s="15"/>
      <c r="G75" s="15"/>
      <c r="H75" s="15"/>
      <c r="I75" s="15"/>
    </row>
    <row r="76" spans="1:14" s="42" customFormat="1">
      <c r="A76" s="15"/>
      <c r="B76" s="15"/>
      <c r="C76" s="15"/>
      <c r="D76" s="15"/>
      <c r="E76" s="15"/>
      <c r="F76" s="15"/>
      <c r="G76" s="15"/>
      <c r="H76" s="15"/>
      <c r="I76" s="15"/>
    </row>
    <row r="77" spans="1:14" s="42" customFormat="1">
      <c r="A77" s="15"/>
      <c r="B77" s="15"/>
      <c r="C77" s="15"/>
      <c r="D77" s="15"/>
      <c r="E77" s="15"/>
      <c r="F77" s="15"/>
      <c r="G77" s="15"/>
      <c r="H77" s="15"/>
      <c r="I77" s="15"/>
    </row>
    <row r="78" spans="1:14" s="42" customFormat="1">
      <c r="A78" s="15"/>
      <c r="B78" s="15"/>
      <c r="C78" s="15"/>
      <c r="D78" s="15"/>
      <c r="E78" s="15"/>
      <c r="F78" s="15"/>
      <c r="G78" s="15"/>
      <c r="H78" s="15"/>
      <c r="I78" s="15"/>
    </row>
    <row r="79" spans="1:14" hidden="1">
      <c r="J79" s="5" t="s">
        <v>25</v>
      </c>
    </row>
    <row r="80" spans="1:14" hidden="1">
      <c r="J80" s="7" t="s">
        <v>50</v>
      </c>
      <c r="K80" s="10">
        <f>100*((K60/K25)^(1/26)-1)</f>
        <v>-0.36350475670048343</v>
      </c>
      <c r="L80" s="10">
        <f>100*((L60/L25)^(1/26)-1)</f>
        <v>-0.28421866823878927</v>
      </c>
      <c r="M80" s="10">
        <f>100*((M60/M25)^(1/26)-1)</f>
        <v>-0.67276855340651087</v>
      </c>
      <c r="N80" s="10">
        <f>100*((N60/N25)^(1/26)-1)</f>
        <v>-0.67172167257757431</v>
      </c>
    </row>
    <row r="81" spans="1:15" hidden="1">
      <c r="J81" s="7" t="s">
        <v>26</v>
      </c>
      <c r="K81" s="12" t="e">
        <f>100*((K32/K23)^(1/9)-1)</f>
        <v>#REF!</v>
      </c>
      <c r="L81" s="12" t="e">
        <f>100*((L32/L23)^(1/9)-1)</f>
        <v>#REF!</v>
      </c>
      <c r="M81" s="12" t="e">
        <f>100*((M32/M23)^(1/9)-1)</f>
        <v>#REF!</v>
      </c>
      <c r="N81" s="12" t="e">
        <f>100*((N32/N23)^(1/9)-1)</f>
        <v>#REF!</v>
      </c>
    </row>
    <row r="82" spans="1:15" hidden="1">
      <c r="J82" s="7" t="s">
        <v>104</v>
      </c>
      <c r="K82" s="12" t="e">
        <f>100*((K52/K23)^(1/20)-1)</f>
        <v>#REF!</v>
      </c>
      <c r="L82" s="12" t="e">
        <f>100*((L52/L23)^(1/20)-1)</f>
        <v>#REF!</v>
      </c>
      <c r="M82" s="12" t="e">
        <f>100*((M52/M23)^(1/20)-1)</f>
        <v>#REF!</v>
      </c>
      <c r="N82" s="12" t="e">
        <f>100*((N52/N23)^(1/20)-1)</f>
        <v>#REF!</v>
      </c>
    </row>
    <row r="83" spans="1:15" hidden="1">
      <c r="J83" s="7" t="s">
        <v>52</v>
      </c>
      <c r="K83" s="12">
        <f>100*((K32/K25)^(1/7)-1)</f>
        <v>-0.80563230688285303</v>
      </c>
      <c r="L83" s="12">
        <f>100*((L32/L25)^(1/7)-1)</f>
        <v>-0.71201858099234627</v>
      </c>
      <c r="M83" s="12">
        <f>100*((M32/M25)^(1/7)-1)</f>
        <v>-2.7233247420772599</v>
      </c>
      <c r="N83" s="12">
        <f>100*((N32/N25)^(1/7)-1)</f>
        <v>-2.6149608624372545</v>
      </c>
    </row>
    <row r="84" spans="1:15" hidden="1">
      <c r="J84" s="7" t="s">
        <v>27</v>
      </c>
      <c r="K84" s="12">
        <f>100*((K52/K32)^(1/11)-1)</f>
        <v>-201.22240395018375</v>
      </c>
      <c r="L84" s="12">
        <f>100*((L52/L32)^(1/11)-1)</f>
        <v>-201.58563215157227</v>
      </c>
      <c r="M84" s="12">
        <f>100*((M52/M32)^(1/11)-1)</f>
        <v>-32.456810996709216</v>
      </c>
      <c r="N84" s="12">
        <f>100*((N52/N32)^(1/11)-1)</f>
        <v>-32.429806641513693</v>
      </c>
    </row>
    <row r="85" spans="1:15" s="42" customFormat="1" hidden="1">
      <c r="A85" s="15"/>
      <c r="B85" s="15"/>
      <c r="C85" s="15"/>
      <c r="D85" s="15"/>
      <c r="E85" s="15"/>
      <c r="F85" s="15"/>
      <c r="G85" s="15"/>
      <c r="H85" s="15"/>
      <c r="I85" s="15"/>
      <c r="J85" s="12">
        <f t="shared" ref="J85:O85" si="19">100*((J62/J23)^(1/30)-1)</f>
        <v>-100</v>
      </c>
      <c r="K85" s="12" t="e">
        <f t="shared" si="19"/>
        <v>#REF!</v>
      </c>
      <c r="L85" s="12" t="e">
        <f t="shared" si="19"/>
        <v>#REF!</v>
      </c>
      <c r="M85" s="12" t="e">
        <f t="shared" si="19"/>
        <v>#REF!</v>
      </c>
      <c r="N85" s="12" t="e">
        <f t="shared" si="19"/>
        <v>#REF!</v>
      </c>
      <c r="O85" s="12" t="e">
        <f t="shared" si="19"/>
        <v>#DIV/0!</v>
      </c>
    </row>
    <row r="86" spans="1:15" s="42" customFormat="1" hidden="1">
      <c r="A86" s="15"/>
      <c r="B86" s="15"/>
      <c r="C86" s="15"/>
      <c r="D86" s="15"/>
      <c r="E86" s="15"/>
      <c r="F86" s="15"/>
      <c r="G86" s="15"/>
      <c r="H86" s="15"/>
      <c r="I86" s="15"/>
      <c r="J86" s="12">
        <f t="shared" ref="J86:O86" si="20">100*((J62/J52)^(1/10)-1)</f>
        <v>-100</v>
      </c>
      <c r="K86" s="12">
        <f t="shared" si="20"/>
        <v>-100</v>
      </c>
      <c r="L86" s="12">
        <f t="shared" si="20"/>
        <v>-100</v>
      </c>
      <c r="M86" s="12">
        <f t="shared" si="20"/>
        <v>-100</v>
      </c>
      <c r="N86" s="12">
        <f t="shared" si="20"/>
        <v>-100</v>
      </c>
      <c r="O86" s="12" t="e">
        <f t="shared" si="20"/>
        <v>#DIV/0!</v>
      </c>
    </row>
  </sheetData>
  <mergeCells count="3">
    <mergeCell ref="A1:I1"/>
    <mergeCell ref="A54:I54"/>
    <mergeCell ref="A55:I55"/>
  </mergeCells>
  <pageMargins left="0.7" right="0.7" top="0.75" bottom="0.75" header="0.3" footer="0.3"/>
  <pageSetup scale="63" orientation="portrait" r:id="rId1"/>
  <colBreaks count="1" manualBreakCount="1">
    <brk id="9" max="61" man="1"/>
  </colBreaks>
</worksheet>
</file>

<file path=xl/worksheets/sheet19.xml><?xml version="1.0" encoding="utf-8"?>
<worksheet xmlns="http://schemas.openxmlformats.org/spreadsheetml/2006/main" xmlns:r="http://schemas.openxmlformats.org/officeDocument/2006/relationships">
  <sheetPr codeName="Sheet23"/>
  <dimension ref="A1:S85"/>
  <sheetViews>
    <sheetView view="pageBreakPreview" zoomScaleSheetLayoutView="100" workbookViewId="0">
      <selection activeCell="H17" sqref="H17"/>
    </sheetView>
  </sheetViews>
  <sheetFormatPr defaultRowHeight="15"/>
  <cols>
    <col min="1" max="1" width="9.140625" style="15"/>
    <col min="2" max="8" width="14.28515625" style="15" customWidth="1"/>
    <col min="9" max="9" width="11.140625" style="15" customWidth="1"/>
    <col min="10" max="10" width="18.140625" style="42" customWidth="1"/>
    <col min="11" max="11" width="27.28515625" style="42" customWidth="1"/>
    <col min="12" max="12" width="24.28515625" style="42" customWidth="1"/>
    <col min="13" max="13" width="18.85546875" style="42" customWidth="1"/>
    <col min="14" max="14" width="35.7109375" style="42" customWidth="1"/>
    <col min="15" max="15" width="27" style="42" customWidth="1"/>
    <col min="16" max="16" width="36.85546875" style="42" customWidth="1"/>
    <col min="17" max="17" width="29.85546875" style="42" customWidth="1"/>
    <col min="18" max="16384" width="9.140625" style="15"/>
  </cols>
  <sheetData>
    <row r="1" spans="1:17">
      <c r="A1" s="202" t="s">
        <v>233</v>
      </c>
      <c r="B1" s="202"/>
      <c r="C1" s="202"/>
      <c r="D1" s="202"/>
      <c r="E1" s="202"/>
      <c r="F1" s="202"/>
      <c r="G1" s="202"/>
      <c r="H1" s="202"/>
      <c r="I1" s="202"/>
    </row>
    <row r="2" spans="1:17" ht="30">
      <c r="A2" s="113" t="s">
        <v>39</v>
      </c>
      <c r="B2" s="198" t="s">
        <v>0</v>
      </c>
      <c r="C2" s="198" t="s">
        <v>12</v>
      </c>
      <c r="D2" s="198" t="s">
        <v>16</v>
      </c>
      <c r="E2" s="198" t="s">
        <v>3</v>
      </c>
      <c r="F2" s="198" t="s">
        <v>9</v>
      </c>
      <c r="G2" s="198" t="s">
        <v>11</v>
      </c>
      <c r="H2" s="198" t="s">
        <v>8</v>
      </c>
      <c r="I2" s="198" t="s">
        <v>10</v>
      </c>
      <c r="J2" s="208" t="s">
        <v>234</v>
      </c>
      <c r="K2" s="195"/>
      <c r="L2" s="195"/>
      <c r="M2" s="195"/>
      <c r="N2" s="195"/>
      <c r="O2" s="195"/>
      <c r="P2" s="195"/>
      <c r="Q2" s="196"/>
    </row>
    <row r="3" spans="1:17">
      <c r="A3" s="9"/>
      <c r="B3" s="13" t="s">
        <v>17</v>
      </c>
      <c r="C3" s="13" t="s">
        <v>18</v>
      </c>
      <c r="D3" s="13" t="s">
        <v>19</v>
      </c>
      <c r="E3" s="13" t="s">
        <v>20</v>
      </c>
      <c r="F3" s="13" t="s">
        <v>21</v>
      </c>
      <c r="G3" s="13" t="s">
        <v>22</v>
      </c>
      <c r="H3" s="13" t="s">
        <v>23</v>
      </c>
      <c r="I3" s="13" t="s">
        <v>24</v>
      </c>
      <c r="J3" s="153" t="s">
        <v>17</v>
      </c>
      <c r="K3" s="153" t="s">
        <v>18</v>
      </c>
      <c r="L3" s="153" t="s">
        <v>19</v>
      </c>
      <c r="M3" s="153" t="s">
        <v>20</v>
      </c>
      <c r="N3" s="153" t="s">
        <v>21</v>
      </c>
      <c r="O3" s="153" t="s">
        <v>22</v>
      </c>
      <c r="P3" s="153" t="s">
        <v>23</v>
      </c>
      <c r="Q3" s="152" t="s">
        <v>24</v>
      </c>
    </row>
    <row r="4" spans="1:17">
      <c r="A4" s="13">
        <v>1981</v>
      </c>
      <c r="B4" s="45">
        <f>'10'!N4/'13'!$B$50</f>
        <v>28983.096170844343</v>
      </c>
      <c r="C4" s="45">
        <f>'10'!O4/'13'!$B$50</f>
        <v>28092.446269755663</v>
      </c>
      <c r="D4" s="45">
        <f>'10'!P4/'13'!$B$50</f>
        <v>28015.301291172873</v>
      </c>
      <c r="E4" s="45">
        <f>'10'!Q4/'13'!$B$50</f>
        <v>27154.391705224181</v>
      </c>
      <c r="F4" s="45">
        <f>'10'!R4/'13'!$B$50</f>
        <v>-3617706.0594938081</v>
      </c>
      <c r="G4" s="45">
        <f>'10'!S4/'13'!$B$50</f>
        <v>23691.445070128157</v>
      </c>
      <c r="H4" s="45">
        <f>'10'!T4/'13'!$B$50</f>
        <v>-3618673.8543734802</v>
      </c>
      <c r="I4" s="45">
        <f>'10'!U4/'13'!$B$50</f>
        <v>22753.390505596668</v>
      </c>
      <c r="J4" s="45">
        <f>'10'!C16/'10'!C$42*'9'!C$42</f>
        <v>27868.351956065053</v>
      </c>
      <c r="K4" s="45">
        <f>'10'!D16/'10'!D$42*'9'!D$42</f>
        <v>27537.356553230238</v>
      </c>
      <c r="L4" s="45">
        <f>'10'!E16/'10'!E$42*'9'!E$42</f>
        <v>28184.085920240836</v>
      </c>
      <c r="M4" s="45">
        <f>'10'!F16/'10'!F$42*'9'!F$42</f>
        <v>27852.77212070104</v>
      </c>
      <c r="N4" s="45">
        <f>'10'!G16/'10'!G$42*'9'!G$42</f>
        <v>24626.633710882972</v>
      </c>
      <c r="O4" s="45">
        <f>'10'!H16/'10'!H$42*'9'!H$42</f>
        <v>24281.586381571782</v>
      </c>
      <c r="P4" s="45">
        <f>'10'!I16/'10'!I$42*'9'!I$42</f>
        <v>24948.825990155634</v>
      </c>
      <c r="Q4" s="45">
        <f>'10'!J16/'10'!J$42*'9'!J$42</f>
        <v>25583.576994447249</v>
      </c>
    </row>
    <row r="5" spans="1:17">
      <c r="A5" s="13">
        <v>1982</v>
      </c>
      <c r="B5" s="45">
        <f>'10'!N5/'13'!$B$50</f>
        <v>27725.224691014053</v>
      </c>
      <c r="C5" s="45">
        <f>'10'!O5/'13'!$B$50</f>
        <v>26702.001338420483</v>
      </c>
      <c r="D5" s="45">
        <f>'10'!P5/'13'!$B$50</f>
        <v>26767.638216238636</v>
      </c>
      <c r="E5" s="45">
        <f>'10'!Q5/'13'!$B$50</f>
        <v>25779.755419187448</v>
      </c>
      <c r="F5" s="45">
        <f>'10'!R5/'13'!$B$50</f>
        <v>-3763167.4720537188</v>
      </c>
      <c r="G5" s="45">
        <f>'10'!S5/'13'!$B$50</f>
        <v>22246.302287745413</v>
      </c>
      <c r="H5" s="45">
        <f>'10'!T5/'13'!$B$50</f>
        <v>-3764125.058528495</v>
      </c>
      <c r="I5" s="45">
        <f>'10'!U5/'13'!$B$50</f>
        <v>21324.056368512374</v>
      </c>
      <c r="J5" s="45">
        <f>'10'!C17/'10'!C$42*'9'!C$42</f>
        <v>27105.687680760155</v>
      </c>
      <c r="K5" s="45">
        <f>'10'!D17/'10'!D$42*'9'!D$42</f>
        <v>27033.932686183478</v>
      </c>
      <c r="L5" s="45">
        <f>'10'!E17/'10'!E$42*'9'!E$42</f>
        <v>27430.90021265882</v>
      </c>
      <c r="M5" s="45">
        <f>'10'!F17/'10'!F$42*'9'!F$42</f>
        <v>27358.757619603944</v>
      </c>
      <c r="N5" s="45">
        <f>'10'!G17/'10'!G$42*'9'!G$42</f>
        <v>23705.24136195967</v>
      </c>
      <c r="O5" s="45">
        <f>'10'!H17/'10'!H$42*'9'!H$42</f>
        <v>23630.631864418683</v>
      </c>
      <c r="P5" s="45">
        <f>'10'!I17/'10'!I$42*'9'!I$42</f>
        <v>24037.532688221963</v>
      </c>
      <c r="Q5" s="45">
        <f>'10'!J17/'10'!J$42*'9'!J$42</f>
        <v>24733.683125413027</v>
      </c>
    </row>
    <row r="6" spans="1:17">
      <c r="A6" s="13">
        <v>1983</v>
      </c>
      <c r="B6" s="45">
        <f>'10'!N6/'13'!$B$50</f>
        <v>28162.400461047266</v>
      </c>
      <c r="C6" s="45">
        <f>'10'!O6/'13'!$B$50</f>
        <v>27158.330686158894</v>
      </c>
      <c r="D6" s="45">
        <f>'10'!P6/'13'!$B$50</f>
        <v>27337.135998234538</v>
      </c>
      <c r="E6" s="45">
        <f>'10'!Q6/'13'!$B$50</f>
        <v>26362.489251562314</v>
      </c>
      <c r="F6" s="45">
        <f>'10'!R6/'13'!$B$50</f>
        <v>-3831846.66946095</v>
      </c>
      <c r="G6" s="45">
        <f>'10'!S6/'13'!$B$50</f>
        <v>22787.971251299121</v>
      </c>
      <c r="H6" s="45">
        <f>'10'!T6/'13'!$B$50</f>
        <v>-3832671.9339237623</v>
      </c>
      <c r="I6" s="45">
        <f>'10'!U6/'13'!$B$50</f>
        <v>21992.129816702552</v>
      </c>
      <c r="J6" s="45">
        <f>'10'!C18/'10'!C$42*'9'!C$42</f>
        <v>28092.044940991247</v>
      </c>
      <c r="K6" s="45">
        <f>'10'!D18/'10'!D$42*'9'!D$42</f>
        <v>27651.910908958151</v>
      </c>
      <c r="L6" s="45">
        <f>'10'!E18/'10'!E$42*'9'!E$42</f>
        <v>28406.478025299813</v>
      </c>
      <c r="M6" s="45">
        <f>'10'!F18/'10'!F$42*'9'!F$42</f>
        <v>27965.669218016013</v>
      </c>
      <c r="N6" s="45">
        <f>'10'!G18/'10'!G$42*'9'!G$42</f>
        <v>24622.9919498413</v>
      </c>
      <c r="O6" s="45">
        <f>'10'!H18/'10'!H$42*'9'!H$42</f>
        <v>24166.214887857372</v>
      </c>
      <c r="P6" s="45">
        <f>'10'!I18/'10'!I$42*'9'!I$42</f>
        <v>24943.833563894656</v>
      </c>
      <c r="Q6" s="45">
        <f>'10'!J18/'10'!J$42*'9'!J$42</f>
        <v>25894.626927670863</v>
      </c>
    </row>
    <row r="7" spans="1:17">
      <c r="A7" s="13">
        <v>1984</v>
      </c>
      <c r="B7" s="45">
        <f>'10'!N7/'13'!$B$50</f>
        <v>29545.808601992674</v>
      </c>
      <c r="C7" s="45">
        <f>'10'!O7/'13'!$B$50</f>
        <v>28313.717759518691</v>
      </c>
      <c r="D7" s="45">
        <f>'10'!P7/'13'!$B$50</f>
        <v>28631.447751776886</v>
      </c>
      <c r="E7" s="45">
        <f>'10'!Q7/'13'!$B$50</f>
        <v>27437.486704477698</v>
      </c>
      <c r="F7" s="45">
        <f>'10'!R7/'13'!$B$50</f>
        <v>-3912041.3141782596</v>
      </c>
      <c r="G7" s="45">
        <f>'10'!S7/'13'!$B$50</f>
        <v>23903.32822445119</v>
      </c>
      <c r="H7" s="45">
        <f>'10'!T7/'13'!$B$50</f>
        <v>-3912955.6750284755</v>
      </c>
      <c r="I7" s="45">
        <f>'10'!U7/'13'!$B$50</f>
        <v>23027.097169410197</v>
      </c>
      <c r="J7" s="45">
        <f>'10'!C19/'10'!C$42*'9'!C$42</f>
        <v>29862.389882709329</v>
      </c>
      <c r="K7" s="45">
        <f>'10'!D19/'10'!D$42*'9'!D$42</f>
        <v>29554.805137257066</v>
      </c>
      <c r="L7" s="45">
        <f>'10'!E19/'10'!E$42*'9'!E$42</f>
        <v>30160.214489736056</v>
      </c>
      <c r="M7" s="45">
        <f>'10'!F19/'10'!F$42*'9'!F$42</f>
        <v>29851.923866776553</v>
      </c>
      <c r="N7" s="45">
        <f>'10'!G19/'10'!G$42*'9'!G$42</f>
        <v>26306.603296692432</v>
      </c>
      <c r="O7" s="45">
        <f>'10'!H19/'10'!H$42*'9'!H$42</f>
        <v>25988.318330395101</v>
      </c>
      <c r="P7" s="45">
        <f>'10'!I19/'10'!I$42*'9'!I$42</f>
        <v>26609.9049694532</v>
      </c>
      <c r="Q7" s="45">
        <f>'10'!J19/'10'!J$42*'9'!J$42</f>
        <v>27760.633636509647</v>
      </c>
    </row>
    <row r="8" spans="1:17">
      <c r="A8" s="13">
        <v>1985</v>
      </c>
      <c r="B8" s="45">
        <f>'10'!N8/'13'!$B$50</f>
        <v>30662.100189667148</v>
      </c>
      <c r="C8" s="45">
        <f>'10'!O8/'13'!$B$50</f>
        <v>29289.548099182717</v>
      </c>
      <c r="D8" s="45">
        <f>'10'!P8/'13'!$B$50</f>
        <v>29724.981244227965</v>
      </c>
      <c r="E8" s="45">
        <f>'10'!Q8/'13'!$B$50</f>
        <v>28394.378157876945</v>
      </c>
      <c r="F8" s="45">
        <f>'10'!R8/'13'!$B$50</f>
        <v>-4030259.1931100441</v>
      </c>
      <c r="G8" s="45">
        <f>'10'!S8/'13'!$B$50</f>
        <v>24797.062594765455</v>
      </c>
      <c r="H8" s="45">
        <f>'10'!T8/'13'!$B$50</f>
        <v>-4031196.312055483</v>
      </c>
      <c r="I8" s="45">
        <f>'10'!U8/'13'!$B$50</f>
        <v>23901.892653459683</v>
      </c>
      <c r="J8" s="45">
        <f>'10'!C20/'10'!C$42*'9'!C$42</f>
        <v>30832.23691922252</v>
      </c>
      <c r="K8" s="45">
        <f>'10'!D20/'10'!D$42*'9'!D$42</f>
        <v>30446.328463887872</v>
      </c>
      <c r="L8" s="45">
        <f>'10'!E20/'10'!E$42*'9'!E$42</f>
        <v>31042.177533322469</v>
      </c>
      <c r="M8" s="45">
        <f>'10'!F20/'10'!F$42*'9'!F$42</f>
        <v>30656.367510467106</v>
      </c>
      <c r="N8" s="45">
        <f>'10'!G20/'10'!G$42*'9'!G$42</f>
        <v>27102.185722712311</v>
      </c>
      <c r="O8" s="45">
        <f>'10'!H20/'10'!H$42*'9'!H$42</f>
        <v>26704.49713091513</v>
      </c>
      <c r="P8" s="45">
        <f>'10'!I20/'10'!I$42*'9'!I$42</f>
        <v>27315.001972223832</v>
      </c>
      <c r="Q8" s="45">
        <f>'10'!J20/'10'!J$42*'9'!J$42</f>
        <v>28615.889631955277</v>
      </c>
    </row>
    <row r="9" spans="1:17">
      <c r="A9" s="13">
        <v>1986</v>
      </c>
      <c r="B9" s="45">
        <f>'10'!N9/'13'!$B$50</f>
        <v>31013.870092406079</v>
      </c>
      <c r="C9" s="45">
        <f>'10'!O9/'13'!$B$50</f>
        <v>29389.363874673676</v>
      </c>
      <c r="D9" s="45">
        <f>'10'!P9/'13'!$B$50</f>
        <v>29970.125585629463</v>
      </c>
      <c r="E9" s="45">
        <f>'10'!Q9/'13'!$B$50</f>
        <v>28400.290695142925</v>
      </c>
      <c r="F9" s="45">
        <f>'10'!R9/'13'!$B$50</f>
        <v>-4107469.8938112394</v>
      </c>
      <c r="G9" s="45">
        <f>'10'!S9/'13'!$B$50</f>
        <v>24858.423155104643</v>
      </c>
      <c r="H9" s="45">
        <f>'10'!T9/'13'!$B$50</f>
        <v>-4108513.6383180162</v>
      </c>
      <c r="I9" s="45">
        <f>'10'!U9/'13'!$B$50</f>
        <v>23869.349975573892</v>
      </c>
      <c r="J9" s="45">
        <f>'10'!C21/'10'!C$42*'9'!C$42</f>
        <v>31611.240178161039</v>
      </c>
      <c r="K9" s="45">
        <f>'10'!D21/'10'!D$42*'9'!D$42</f>
        <v>31058.590399436871</v>
      </c>
      <c r="L9" s="45">
        <f>'10'!E21/'10'!E$42*'9'!E$42</f>
        <v>31755.981492172552</v>
      </c>
      <c r="M9" s="45">
        <f>'10'!F21/'10'!F$42*'9'!F$42</f>
        <v>31202.708873235952</v>
      </c>
      <c r="N9" s="45">
        <f>'10'!G21/'10'!G$42*'9'!G$42</f>
        <v>27714.839806334399</v>
      </c>
      <c r="O9" s="45">
        <f>'10'!H21/'10'!H$42*'9'!H$42</f>
        <v>27145.228735365683</v>
      </c>
      <c r="P9" s="45">
        <f>'10'!I21/'10'!I$42*'9'!I$42</f>
        <v>27860.076518210681</v>
      </c>
      <c r="Q9" s="45">
        <f>'10'!J21/'10'!J$42*'9'!J$42</f>
        <v>29162.999797998204</v>
      </c>
    </row>
    <row r="10" spans="1:17">
      <c r="A10" s="13">
        <v>1987</v>
      </c>
      <c r="B10" s="45">
        <f>'10'!N10/'13'!$B$50</f>
        <v>31872.882426139386</v>
      </c>
      <c r="C10" s="45">
        <f>'10'!O10/'13'!$B$50</f>
        <v>30383.848287929002</v>
      </c>
      <c r="D10" s="45">
        <f>'10'!P10/'13'!$B$50</f>
        <v>30890.324783272525</v>
      </c>
      <c r="E10" s="45">
        <f>'10'!Q10/'13'!$B$50</f>
        <v>29447.193674898826</v>
      </c>
      <c r="F10" s="45">
        <f>'10'!R10/'13'!$B$50</f>
        <v>-4127682.2480813763</v>
      </c>
      <c r="G10" s="45">
        <f>'10'!S10/'13'!$B$50</f>
        <v>25843.096969601236</v>
      </c>
      <c r="H10" s="45">
        <f>'10'!T10/'13'!$B$50</f>
        <v>-4128664.8057242422</v>
      </c>
      <c r="I10" s="45">
        <f>'10'!U10/'13'!$B$50</f>
        <v>24906.442356571053</v>
      </c>
      <c r="J10" s="45">
        <f>'10'!C22/'10'!C$42*'9'!C$42</f>
        <v>32413.962771611597</v>
      </c>
      <c r="K10" s="45">
        <f>'10'!D22/'10'!D$42*'9'!D$42</f>
        <v>32121.393429758889</v>
      </c>
      <c r="L10" s="45">
        <f>'10'!E22/'10'!E$42*'9'!E$42</f>
        <v>32549.876690596502</v>
      </c>
      <c r="M10" s="45">
        <f>'10'!F22/'10'!F$42*'9'!F$42</f>
        <v>32256.998358283025</v>
      </c>
      <c r="N10" s="45">
        <f>'10'!G22/'10'!G$42*'9'!G$42</f>
        <v>28355.0952843255</v>
      </c>
      <c r="O10" s="45">
        <f>'10'!H22/'10'!H$42*'9'!H$42</f>
        <v>28053.938583150913</v>
      </c>
      <c r="P10" s="45">
        <f>'10'!I22/'10'!I$42*'9'!I$42</f>
        <v>28491.306568446766</v>
      </c>
      <c r="Q10" s="45">
        <f>'10'!J22/'10'!J$42*'9'!J$42</f>
        <v>29771.964994801223</v>
      </c>
    </row>
    <row r="11" spans="1:17">
      <c r="A11" s="13">
        <v>1988</v>
      </c>
      <c r="B11" s="45">
        <f>'10'!N11/'13'!$B$50</f>
        <v>32838.683375674547</v>
      </c>
      <c r="C11" s="45">
        <f>'10'!O11/'13'!$B$50</f>
        <v>31518.969213831933</v>
      </c>
      <c r="D11" s="45">
        <f>'10'!P11/'13'!$B$50</f>
        <v>31775.552053168318</v>
      </c>
      <c r="E11" s="45">
        <f>'10'!Q11/'13'!$B$50</f>
        <v>30498.562791290766</v>
      </c>
      <c r="F11" s="45">
        <f>'10'!R11/'13'!$B$50</f>
        <v>-4221402.7789712194</v>
      </c>
      <c r="G11" s="45">
        <f>'10'!S11/'13'!$B$50</f>
        <v>26888.400566224333</v>
      </c>
      <c r="H11" s="45">
        <f>'10'!T11/'13'!$B$50</f>
        <v>-4222465.9102937272</v>
      </c>
      <c r="I11" s="45">
        <f>'10'!U11/'13'!$B$50</f>
        <v>25867.994143683154</v>
      </c>
      <c r="J11" s="45">
        <f>'10'!C23/'10'!C$42*'9'!C$42</f>
        <v>33462.250409803884</v>
      </c>
      <c r="K11" s="45">
        <f>'10'!D23/'10'!D$42*'9'!D$42</f>
        <v>33442.92157529571</v>
      </c>
      <c r="L11" s="45">
        <f>'10'!E23/'10'!E$42*'9'!E$42</f>
        <v>33625.607209653797</v>
      </c>
      <c r="M11" s="45">
        <f>'10'!F23/'10'!F$42*'9'!F$42</f>
        <v>33606.272502236076</v>
      </c>
      <c r="N11" s="45">
        <f>'10'!G23/'10'!G$42*'9'!G$42</f>
        <v>29268.121664371276</v>
      </c>
      <c r="O11" s="45">
        <f>'10'!H23/'10'!H$42*'9'!H$42</f>
        <v>29248.269187619066</v>
      </c>
      <c r="P11" s="45">
        <f>'10'!I23/'10'!I$42*'9'!I$42</f>
        <v>29432.012438594378</v>
      </c>
      <c r="Q11" s="45">
        <f>'10'!J23/'10'!J$42*'9'!J$42</f>
        <v>30764.884703041782</v>
      </c>
    </row>
    <row r="12" spans="1:17">
      <c r="A12" s="13">
        <v>1989</v>
      </c>
      <c r="B12" s="45">
        <f>'10'!N12/'13'!$B$50</f>
        <v>33027.509411020139</v>
      </c>
      <c r="C12" s="45">
        <f>'10'!O12/'13'!$B$50</f>
        <v>31785.967203641896</v>
      </c>
      <c r="D12" s="45">
        <f>'10'!P12/'13'!$B$50</f>
        <v>31891.899382817654</v>
      </c>
      <c r="E12" s="45">
        <f>'10'!Q12/'13'!$B$50</f>
        <v>30693.04606740487</v>
      </c>
      <c r="F12" s="45">
        <f>'10'!R12/'13'!$B$50</f>
        <v>-4349740.5755417915</v>
      </c>
      <c r="G12" s="45">
        <f>'10'!S12/'13'!$B$50</f>
        <v>27063.464960811958</v>
      </c>
      <c r="H12" s="45">
        <f>'10'!T12/'13'!$B$50</f>
        <v>-4350876.1855699942</v>
      </c>
      <c r="I12" s="45">
        <f>'10'!U12/'13'!$B$50</f>
        <v>25970.543824574925</v>
      </c>
      <c r="J12" s="45">
        <f>'10'!C24/'10'!C$42*'9'!C$42</f>
        <v>34364.8928520259</v>
      </c>
      <c r="K12" s="45">
        <f>'10'!D24/'10'!D$42*'9'!D$42</f>
        <v>33950.955543036172</v>
      </c>
      <c r="L12" s="45">
        <f>'10'!E24/'10'!E$42*'9'!E$42</f>
        <v>34531.228889715632</v>
      </c>
      <c r="M12" s="45">
        <f>'10'!F24/'10'!F$42*'9'!F$42</f>
        <v>34116.649412266939</v>
      </c>
      <c r="N12" s="45">
        <f>'10'!G24/'10'!G$42*'9'!G$42</f>
        <v>30035.289172952129</v>
      </c>
      <c r="O12" s="45">
        <f>'10'!H24/'10'!H$42*'9'!H$42</f>
        <v>29610.015638029978</v>
      </c>
      <c r="P12" s="45">
        <f>'10'!I24/'10'!I$42*'9'!I$42</f>
        <v>30202.232145787159</v>
      </c>
      <c r="Q12" s="45">
        <f>'10'!J24/'10'!J$42*'9'!J$42</f>
        <v>31634.656519601718</v>
      </c>
    </row>
    <row r="13" spans="1:17">
      <c r="A13" s="13">
        <v>1990</v>
      </c>
      <c r="B13" s="45">
        <f>'10'!N13/'13'!$B$50</f>
        <v>32581.742897768381</v>
      </c>
      <c r="C13" s="45">
        <f>'10'!O13/'13'!$B$50</f>
        <v>31213.605295544308</v>
      </c>
      <c r="D13" s="45">
        <f>'10'!P13/'13'!$B$50</f>
        <v>31409.340397420343</v>
      </c>
      <c r="E13" s="45">
        <f>'10'!Q13/'13'!$B$50</f>
        <v>30090.433063530927</v>
      </c>
      <c r="F13" s="45">
        <f>'10'!R13/'13'!$B$50</f>
        <v>-4514920.901158656</v>
      </c>
      <c r="G13" s="45">
        <f>'10'!S13/'13'!$B$50</f>
        <v>26431.124826608866</v>
      </c>
      <c r="H13" s="45">
        <f>'10'!T13/'13'!$B$50</f>
        <v>-4516093.3036590042</v>
      </c>
      <c r="I13" s="45">
        <f>'10'!U13/'13'!$B$50</f>
        <v>25307.952594595488</v>
      </c>
      <c r="J13" s="45">
        <f>'10'!C25/'10'!C$42*'9'!C$42</f>
        <v>34622.129137188917</v>
      </c>
      <c r="K13" s="45">
        <f>'10'!D25/'10'!D$42*'9'!D$42</f>
        <v>34067.160576135007</v>
      </c>
      <c r="L13" s="45">
        <f>'10'!E25/'10'!E$42*'9'!E$42</f>
        <v>34832.623256414961</v>
      </c>
      <c r="M13" s="45">
        <f>'10'!F25/'10'!F$42*'9'!F$42</f>
        <v>34277.430090237031</v>
      </c>
      <c r="N13" s="45">
        <f>'10'!G25/'10'!G$42*'9'!G$42</f>
        <v>30164.301359055484</v>
      </c>
      <c r="O13" s="45">
        <f>'10'!H25/'10'!H$42*'9'!H$42</f>
        <v>29596.532096318791</v>
      </c>
      <c r="P13" s="45">
        <f>'10'!I25/'10'!I$42*'9'!I$42</f>
        <v>30376.5215003966</v>
      </c>
      <c r="Q13" s="45">
        <f>'10'!J25/'10'!J$42*'9'!J$42</f>
        <v>31836.056347367448</v>
      </c>
    </row>
    <row r="14" spans="1:17">
      <c r="A14" s="13">
        <v>1991</v>
      </c>
      <c r="B14" s="45">
        <f>'10'!N14/'13'!$B$50</f>
        <v>31497.770691891154</v>
      </c>
      <c r="C14" s="45">
        <f>'10'!O14/'13'!$B$50</f>
        <v>30090.042775360151</v>
      </c>
      <c r="D14" s="45">
        <f>'10'!P14/'13'!$B$50</f>
        <v>30453.905824819158</v>
      </c>
      <c r="E14" s="45">
        <f>'10'!Q14/'13'!$B$50</f>
        <v>29092.831296200507</v>
      </c>
      <c r="F14" s="45">
        <f>'10'!R14/'13'!$B$50</f>
        <v>-4574620.7475349661</v>
      </c>
      <c r="G14" s="45">
        <f>'10'!S14/'13'!$B$50</f>
        <v>25478.866918982007</v>
      </c>
      <c r="H14" s="45">
        <f>'10'!T14/'13'!$B$50</f>
        <v>-4575664.6124020377</v>
      </c>
      <c r="I14" s="45">
        <f>'10'!U14/'13'!$B$50</f>
        <v>24481.655439822363</v>
      </c>
      <c r="J14" s="45">
        <f>'10'!C26/'10'!C$42*'9'!C$42</f>
        <v>34127.944540457233</v>
      </c>
      <c r="K14" s="45">
        <f>'10'!D26/'10'!D$42*'9'!D$42</f>
        <v>33612.408716493606</v>
      </c>
      <c r="L14" s="45">
        <f>'10'!E26/'10'!E$42*'9'!E$42</f>
        <v>34305.399177293017</v>
      </c>
      <c r="M14" s="45">
        <f>'10'!F26/'10'!F$42*'9'!F$42</f>
        <v>33789.997430167481</v>
      </c>
      <c r="N14" s="45">
        <f>'10'!G26/'10'!G$42*'9'!G$42</f>
        <v>29577.173750029866</v>
      </c>
      <c r="O14" s="45">
        <f>'10'!H26/'10'!H$42*'9'!H$42</f>
        <v>29050.880168595126</v>
      </c>
      <c r="P14" s="45">
        <f>'10'!I26/'10'!I$42*'9'!I$42</f>
        <v>29755.553194485525</v>
      </c>
      <c r="Q14" s="45">
        <f>'10'!J26/'10'!J$42*'9'!J$42</f>
        <v>31338.083132474498</v>
      </c>
    </row>
    <row r="15" spans="1:17">
      <c r="A15" s="13">
        <v>1992</v>
      </c>
      <c r="B15" s="45">
        <f>'10'!N15/'13'!$B$50</f>
        <v>31403.242435505595</v>
      </c>
      <c r="C15" s="45">
        <f>'10'!O15/'13'!$B$50</f>
        <v>29883.467105935386</v>
      </c>
      <c r="D15" s="45">
        <f>'10'!P15/'13'!$B$50</f>
        <v>30277.500211656952</v>
      </c>
      <c r="E15" s="45">
        <f>'10'!Q15/'13'!$B$50</f>
        <v>28812.205729495232</v>
      </c>
      <c r="F15" s="45">
        <f>'10'!R15/'13'!$B$50</f>
        <v>-4635952.5365116578</v>
      </c>
      <c r="G15" s="45">
        <f>'10'!S15/'13'!$B$50</f>
        <v>25254.797688131148</v>
      </c>
      <c r="H15" s="45">
        <f>'10'!T15/'13'!$B$50</f>
        <v>-4637078.2787355063</v>
      </c>
      <c r="I15" s="45">
        <f>'10'!U15/'13'!$B$50</f>
        <v>24183.536311691005</v>
      </c>
      <c r="J15" s="45">
        <f>'10'!C27/'10'!C$42*'9'!C$42</f>
        <v>34863.499206154578</v>
      </c>
      <c r="K15" s="45">
        <f>'10'!D27/'10'!D$42*'9'!D$42</f>
        <v>34243.533932763741</v>
      </c>
      <c r="L15" s="45">
        <f>'10'!E27/'10'!E$42*'9'!E$42</f>
        <v>35032.878102608229</v>
      </c>
      <c r="M15" s="45">
        <f>'10'!F27/'10'!F$42*'9'!F$42</f>
        <v>34412.716320714731</v>
      </c>
      <c r="N15" s="45">
        <f>'10'!G27/'10'!G$42*'9'!G$42</f>
        <v>30263.113366680809</v>
      </c>
      <c r="O15" s="45">
        <f>'10'!H27/'10'!H$42*'9'!H$42</f>
        <v>29632.129242286184</v>
      </c>
      <c r="P15" s="45">
        <f>'10'!I27/'10'!I$42*'9'!I$42</f>
        <v>30433.203760698379</v>
      </c>
      <c r="Q15" s="45">
        <f>'10'!J27/'10'!J$42*'9'!J$42</f>
        <v>32137.291207526781</v>
      </c>
    </row>
    <row r="16" spans="1:17">
      <c r="A16" s="13">
        <v>1993</v>
      </c>
      <c r="B16" s="45">
        <f>'10'!N16/'13'!$B$50</f>
        <v>31870.53738069272</v>
      </c>
      <c r="C16" s="45">
        <f>'10'!O16/'13'!$B$50</f>
        <v>30172.50068230867</v>
      </c>
      <c r="D16" s="45">
        <f>'10'!P16/'13'!$B$50</f>
        <v>30787.274016503878</v>
      </c>
      <c r="E16" s="45">
        <f>'10'!Q16/'13'!$B$50</f>
        <v>29146.952722301303</v>
      </c>
      <c r="F16" s="45">
        <f>'10'!R16/'13'!$B$50</f>
        <v>-4642103.5953656975</v>
      </c>
      <c r="G16" s="45">
        <f>'10'!S16/'13'!$B$50</f>
        <v>25560.90744526402</v>
      </c>
      <c r="H16" s="45">
        <f>'10'!T16/'13'!$B$50</f>
        <v>-4643186.8587298868</v>
      </c>
      <c r="I16" s="45">
        <f>'10'!U16/'13'!$B$50</f>
        <v>24535.359485256664</v>
      </c>
      <c r="J16" s="45">
        <f>'10'!C28/'10'!C$42*'9'!C$42</f>
        <v>35360.755877207346</v>
      </c>
      <c r="K16" s="45">
        <f>'10'!D28/'10'!D$42*'9'!D$42</f>
        <v>34556.5579204479</v>
      </c>
      <c r="L16" s="45">
        <f>'10'!E28/'10'!E$42*'9'!E$42</f>
        <v>35525.904736294484</v>
      </c>
      <c r="M16" s="45">
        <f>'10'!F28/'10'!F$42*'9'!F$42</f>
        <v>34721.922051909445</v>
      </c>
      <c r="N16" s="45">
        <f>'10'!G28/'10'!G$42*'9'!G$42</f>
        <v>30683.252453559489</v>
      </c>
      <c r="O16" s="45">
        <f>'10'!H28/'10'!H$42*'9'!H$42</f>
        <v>29865.720558972102</v>
      </c>
      <c r="P16" s="45">
        <f>'10'!I28/'10'!I$42*'9'!I$42</f>
        <v>30848.863081662374</v>
      </c>
      <c r="Q16" s="45">
        <f>'10'!J28/'10'!J$42*'9'!J$42</f>
        <v>32657.142744542241</v>
      </c>
    </row>
    <row r="17" spans="1:17">
      <c r="A17" s="13">
        <v>1994</v>
      </c>
      <c r="B17" s="45">
        <f>'10'!N17/'13'!$B$50</f>
        <v>32948.113998257293</v>
      </c>
      <c r="C17" s="45">
        <f>'10'!O17/'13'!$B$50</f>
        <v>31117.016203993659</v>
      </c>
      <c r="D17" s="45">
        <f>'10'!P17/'13'!$B$50</f>
        <v>31767.994570768529</v>
      </c>
      <c r="E17" s="45">
        <f>'10'!Q17/'13'!$B$50</f>
        <v>30002.482141444354</v>
      </c>
      <c r="F17" s="45">
        <f>'10'!R17/'13'!$B$50</f>
        <v>-4681485.9882832225</v>
      </c>
      <c r="G17" s="45">
        <f>'10'!S17/'13'!$B$50</f>
        <v>26390.638959471402</v>
      </c>
      <c r="H17" s="45">
        <f>'10'!T17/'13'!$B$50</f>
        <v>-4682666.1077107107</v>
      </c>
      <c r="I17" s="45">
        <f>'10'!U17/'13'!$B$50</f>
        <v>25276.104896922097</v>
      </c>
      <c r="J17" s="45">
        <f>'10'!C29/'10'!C$42*'9'!C$42</f>
        <v>36342.242891277601</v>
      </c>
      <c r="K17" s="45">
        <f>'10'!D29/'10'!D$42*'9'!D$42</f>
        <v>35644.26600497328</v>
      </c>
      <c r="L17" s="45">
        <f>'10'!E29/'10'!E$42*'9'!E$42</f>
        <v>36462.891254336362</v>
      </c>
      <c r="M17" s="45">
        <f>'10'!F29/'10'!F$42*'9'!F$42</f>
        <v>35764.748479418384</v>
      </c>
      <c r="N17" s="45">
        <f>'10'!G29/'10'!G$42*'9'!G$42</f>
        <v>31568.316885503878</v>
      </c>
      <c r="O17" s="45">
        <f>'10'!H29/'10'!H$42*'9'!H$42</f>
        <v>30859.412121331843</v>
      </c>
      <c r="P17" s="45">
        <f>'10'!I29/'10'!I$42*'9'!I$42</f>
        <v>31688.545381220625</v>
      </c>
      <c r="Q17" s="45">
        <f>'10'!J29/'10'!J$42*'9'!J$42</f>
        <v>33575.413115269468</v>
      </c>
    </row>
    <row r="18" spans="1:17">
      <c r="A18" s="13">
        <v>1995</v>
      </c>
      <c r="B18" s="45">
        <f>'10'!N18/'13'!$B$50</f>
        <v>33484.807029288604</v>
      </c>
      <c r="C18" s="45">
        <f>'10'!O18/'13'!$B$50</f>
        <v>31952.766629031266</v>
      </c>
      <c r="D18" s="45">
        <f>'10'!P18/'13'!$B$50</f>
        <v>32331.27206898939</v>
      </c>
      <c r="E18" s="45">
        <f>'10'!Q18/'13'!$B$50</f>
        <v>30852.00969910093</v>
      </c>
      <c r="F18" s="45">
        <f>'10'!R18/'13'!$B$50</f>
        <v>-4798809.0531501612</v>
      </c>
      <c r="G18" s="45">
        <f>'10'!S18/'13'!$B$50</f>
        <v>27132.805320693824</v>
      </c>
      <c r="H18" s="45">
        <f>'10'!T18/'13'!$B$50</f>
        <v>-4799962.5881104609</v>
      </c>
      <c r="I18" s="45">
        <f>'10'!U18/'13'!$B$50</f>
        <v>26032.048390763484</v>
      </c>
      <c r="J18" s="45">
        <f>'10'!C30/'10'!C$42*'9'!C$42</f>
        <v>36879.24761928025</v>
      </c>
      <c r="K18" s="45">
        <f>'10'!D30/'10'!D$42*'9'!D$42</f>
        <v>36430.237044488407</v>
      </c>
      <c r="L18" s="45">
        <f>'10'!E30/'10'!E$42*'9'!E$42</f>
        <v>37016.241044830844</v>
      </c>
      <c r="M18" s="45">
        <f>'10'!F30/'10'!F$42*'9'!F$42</f>
        <v>36567.34496664309</v>
      </c>
      <c r="N18" s="45">
        <f>'10'!G30/'10'!G$42*'9'!G$42</f>
        <v>31966.948610403451</v>
      </c>
      <c r="O18" s="45">
        <f>'10'!H30/'10'!H$42*'9'!H$42</f>
        <v>31510.771603284211</v>
      </c>
      <c r="P18" s="45">
        <f>'10'!I30/'10'!I$42*'9'!I$42</f>
        <v>32104.158699952415</v>
      </c>
      <c r="Q18" s="45">
        <f>'10'!J30/'10'!J$42*'9'!J$42</f>
        <v>33985.503235810254</v>
      </c>
    </row>
    <row r="19" spans="1:17">
      <c r="A19" s="13">
        <v>1996</v>
      </c>
      <c r="B19" s="45">
        <f>'10'!N19/'13'!$B$50</f>
        <v>33673.780692346154</v>
      </c>
      <c r="C19" s="45">
        <f>'10'!O19/'13'!$B$50</f>
        <v>32325.505362132302</v>
      </c>
      <c r="D19" s="45">
        <f>'10'!P19/'13'!$B$50</f>
        <v>32554.930991752473</v>
      </c>
      <c r="E19" s="45">
        <f>'10'!Q19/'13'!$B$50</f>
        <v>31251.453644376066</v>
      </c>
      <c r="F19" s="45">
        <f>'10'!R19/'13'!$B$50</f>
        <v>-4942041.1302653011</v>
      </c>
      <c r="G19" s="45">
        <f>'10'!S19/'13'!$B$50</f>
        <v>27404.146854211183</v>
      </c>
      <c r="H19" s="45">
        <f>'10'!T19/'13'!$B$50</f>
        <v>-4943159.9799658945</v>
      </c>
      <c r="I19" s="45">
        <f>'10'!U19/'13'!$B$50</f>
        <v>26330.095136454955</v>
      </c>
      <c r="J19" s="45">
        <f>'10'!C31/'10'!C$42*'9'!C$42</f>
        <v>37827.206509490439</v>
      </c>
      <c r="K19" s="45">
        <f>'10'!D31/'10'!D$42*'9'!D$42</f>
        <v>37554.848656328752</v>
      </c>
      <c r="L19" s="45">
        <f>'10'!E31/'10'!E$42*'9'!E$42</f>
        <v>37972.50824042748</v>
      </c>
      <c r="M19" s="45">
        <f>'10'!F31/'10'!F$42*'9'!F$42</f>
        <v>37700.214638733567</v>
      </c>
      <c r="N19" s="45">
        <f>'10'!G31/'10'!G$42*'9'!G$42</f>
        <v>32759.767898815171</v>
      </c>
      <c r="O19" s="45">
        <f>'10'!H31/'10'!H$42*'9'!H$42</f>
        <v>32483.849802708497</v>
      </c>
      <c r="P19" s="45">
        <f>'10'!I31/'10'!I$42*'9'!I$42</f>
        <v>32905.331239235238</v>
      </c>
      <c r="Q19" s="45">
        <f>'10'!J31/'10'!J$42*'9'!J$42</f>
        <v>34940.76857490588</v>
      </c>
    </row>
    <row r="20" spans="1:17">
      <c r="A20" s="13">
        <v>1997</v>
      </c>
      <c r="B20" s="45">
        <f>'10'!N20/'13'!$B$50</f>
        <v>34764.883983780535</v>
      </c>
      <c r="C20" s="45">
        <f>'10'!O20/'13'!$B$50</f>
        <v>33256.492331367786</v>
      </c>
      <c r="D20" s="45">
        <f>'10'!P20/'13'!$B$50</f>
        <v>33686.436838056492</v>
      </c>
      <c r="E20" s="45">
        <f>'10'!Q20/'13'!$B$50</f>
        <v>32224.837249524575</v>
      </c>
      <c r="F20" s="45">
        <f>'10'!R20/'13'!$B$50</f>
        <v>-5069336.6831753319</v>
      </c>
      <c r="G20" s="45">
        <f>'10'!S20/'13'!$B$50</f>
        <v>28180.652518212668</v>
      </c>
      <c r="H20" s="45">
        <f>'10'!T20/'13'!$B$50</f>
        <v>-5070415.1303210557</v>
      </c>
      <c r="I20" s="45">
        <f>'10'!U20/'13'!$B$50</f>
        <v>27148.997436369456</v>
      </c>
      <c r="J20" s="45">
        <f>'10'!C32/'10'!C$42*'9'!C$42</f>
        <v>39039.603851215084</v>
      </c>
      <c r="K20" s="45">
        <f>'10'!D32/'10'!D$42*'9'!D$42</f>
        <v>38986.990387137033</v>
      </c>
      <c r="L20" s="45">
        <f>'10'!E32/'10'!E$42*'9'!E$42</f>
        <v>39146.465142416819</v>
      </c>
      <c r="M20" s="45">
        <f>'10'!F32/'10'!F$42*'9'!F$42</f>
        <v>39093.853551890963</v>
      </c>
      <c r="N20" s="45">
        <f>'10'!G32/'10'!G$42*'9'!G$42</f>
        <v>33777.41749741065</v>
      </c>
      <c r="O20" s="45">
        <f>'10'!H32/'10'!H$42*'9'!H$42</f>
        <v>33724.335106340492</v>
      </c>
      <c r="P20" s="45">
        <f>'10'!I32/'10'!I$42*'9'!I$42</f>
        <v>33884.031268312261</v>
      </c>
      <c r="Q20" s="45">
        <f>'10'!J32/'10'!J$42*'9'!J$42</f>
        <v>36138.455387055845</v>
      </c>
    </row>
    <row r="21" spans="1:17">
      <c r="A21" s="13">
        <v>1998</v>
      </c>
      <c r="B21" s="45">
        <f>'10'!N21/'13'!$B$50</f>
        <v>35812.761702855772</v>
      </c>
      <c r="C21" s="45">
        <f>'10'!O21/'13'!$B$50</f>
        <v>33700.676815127757</v>
      </c>
      <c r="D21" s="45">
        <f>'10'!P21/'13'!$B$50</f>
        <v>34607.815965439171</v>
      </c>
      <c r="E21" s="45">
        <f>'10'!Q21/'13'!$B$50</f>
        <v>32566.793669969356</v>
      </c>
      <c r="F21" s="45">
        <f>'10'!R21/'13'!$B$50</f>
        <v>-5281212.3208611775</v>
      </c>
      <c r="G21" s="45">
        <f>'10'!S21/'13'!$B$50</f>
        <v>28399.392403393435</v>
      </c>
      <c r="H21" s="45">
        <f>'10'!T21/'13'!$B$50</f>
        <v>-5282417.2665985944</v>
      </c>
      <c r="I21" s="45">
        <f>'10'!U21/'13'!$B$50</f>
        <v>27265.509258235019</v>
      </c>
      <c r="J21" s="45">
        <f>'10'!C33/'10'!C$42*'9'!C$42</f>
        <v>40317.254633021068</v>
      </c>
      <c r="K21" s="45">
        <f>'10'!D33/'10'!D$42*'9'!D$42</f>
        <v>40562.978539995114</v>
      </c>
      <c r="L21" s="45">
        <f>'10'!E33/'10'!E$42*'9'!E$42</f>
        <v>40393.931922270953</v>
      </c>
      <c r="M21" s="45">
        <f>'10'!F33/'10'!F$42*'9'!F$42</f>
        <v>40639.573074141517</v>
      </c>
      <c r="N21" s="45">
        <f>'10'!G33/'10'!G$42*'9'!G$42</f>
        <v>34809.062004968924</v>
      </c>
      <c r="O21" s="45">
        <f>'10'!H33/'10'!H$42*'9'!H$42</f>
        <v>35057.230746045039</v>
      </c>
      <c r="P21" s="45">
        <f>'10'!I33/'10'!I$42*'9'!I$42</f>
        <v>34885.27678281808</v>
      </c>
      <c r="Q21" s="45">
        <f>'10'!J33/'10'!J$42*'9'!J$42</f>
        <v>37438.256121086037</v>
      </c>
    </row>
    <row r="22" spans="1:17">
      <c r="A22" s="13">
        <v>1999</v>
      </c>
      <c r="B22" s="45">
        <f>'10'!N22/'13'!$B$50</f>
        <v>37359.451468175073</v>
      </c>
      <c r="C22" s="45">
        <f>'10'!O22/'13'!$B$50</f>
        <v>35330.589739111158</v>
      </c>
      <c r="D22" s="45">
        <f>'10'!P22/'13'!$B$50</f>
        <v>36101.983677214892</v>
      </c>
      <c r="E22" s="45">
        <f>'10'!Q22/'13'!$B$50</f>
        <v>34141.410645558186</v>
      </c>
      <c r="F22" s="45">
        <f>'10'!R22/'13'!$B$50</f>
        <v>-5481919.3641962623</v>
      </c>
      <c r="G22" s="45">
        <f>'10'!S22/'13'!$B$50</f>
        <v>29899.976000903538</v>
      </c>
      <c r="H22" s="45">
        <f>'10'!T22/'13'!$B$50</f>
        <v>-5483176.8319872217</v>
      </c>
      <c r="I22" s="45">
        <f>'10'!U22/'13'!$B$50</f>
        <v>28710.79690735057</v>
      </c>
      <c r="J22" s="45">
        <f>'10'!C34/'10'!C$42*'9'!C$42</f>
        <v>41753.699615670477</v>
      </c>
      <c r="K22" s="45">
        <f>'10'!D34/'10'!D$42*'9'!D$42</f>
        <v>41897.296201616824</v>
      </c>
      <c r="L22" s="45">
        <f>'10'!E34/'10'!E$42*'9'!E$42</f>
        <v>41864.719912920831</v>
      </c>
      <c r="M22" s="45">
        <f>'10'!F34/'10'!F$42*'9'!F$42</f>
        <v>42008.59304657553</v>
      </c>
      <c r="N22" s="45">
        <f>'10'!G34/'10'!G$42*'9'!G$42</f>
        <v>35961.643770670002</v>
      </c>
      <c r="O22" s="45">
        <f>'10'!H34/'10'!H$42*'9'!H$42</f>
        <v>36106.276373439789</v>
      </c>
      <c r="P22" s="45">
        <f>'10'!I34/'10'!I$42*'9'!I$42</f>
        <v>36072.414889054555</v>
      </c>
      <c r="Q22" s="45">
        <f>'10'!J34/'10'!J$42*'9'!J$42</f>
        <v>38722.179584974656</v>
      </c>
    </row>
    <row r="23" spans="1:17">
      <c r="A23" s="13">
        <v>2000</v>
      </c>
      <c r="B23" s="45">
        <f>'10'!N23/'13'!$B$50</f>
        <v>38934.776126140314</v>
      </c>
      <c r="C23" s="45">
        <f>'10'!O23/'13'!$B$50</f>
        <v>37444.143459044462</v>
      </c>
      <c r="D23" s="45">
        <f>'10'!P23/'13'!$B$50</f>
        <v>37913.197586517454</v>
      </c>
      <c r="E23" s="45">
        <f>'10'!Q23/'13'!$B$50</f>
        <v>36461.676441168449</v>
      </c>
      <c r="F23" s="45">
        <f>'10'!R23/'13'!$B$50</f>
        <v>-5711099.9605216775</v>
      </c>
      <c r="G23" s="45">
        <f>'10'!S23/'13'!$B$50</f>
        <v>31853.855008305873</v>
      </c>
      <c r="H23" s="45">
        <f>'10'!T23/'13'!$B$50</f>
        <v>-5712121.5390613014</v>
      </c>
      <c r="I23" s="45">
        <f>'10'!U23/'13'!$B$50</f>
        <v>30871.387990429859</v>
      </c>
      <c r="J23" s="45">
        <f>'10'!C35/'10'!C$42*'9'!C$42</f>
        <v>43004.441568387309</v>
      </c>
      <c r="K23" s="45">
        <f>'10'!D35/'10'!D$42*'9'!D$42</f>
        <v>43409.129846245552</v>
      </c>
      <c r="L23" s="45">
        <f>'10'!E35/'10'!E$42*'9'!E$42</f>
        <v>43152.735718741773</v>
      </c>
      <c r="M23" s="45">
        <f>'10'!F35/'10'!F$42*'9'!F$42</f>
        <v>43557.295253958175</v>
      </c>
      <c r="N23" s="45">
        <f>'10'!G35/'10'!G$42*'9'!G$42</f>
        <v>36916.04996471035</v>
      </c>
      <c r="O23" s="45">
        <f>'10'!H35/'10'!H$42*'9'!H$42</f>
        <v>37323.570906480614</v>
      </c>
      <c r="P23" s="45">
        <f>'10'!I35/'10'!I$42*'9'!I$42</f>
        <v>37063.937873509109</v>
      </c>
      <c r="Q23" s="45">
        <f>'10'!J35/'10'!J$42*'9'!J$42</f>
        <v>39677.605709074502</v>
      </c>
    </row>
    <row r="24" spans="1:17">
      <c r="A24" s="13">
        <v>2001</v>
      </c>
      <c r="B24" s="45">
        <f>'10'!N24/'13'!$B$50</f>
        <v>39216.799395649381</v>
      </c>
      <c r="C24" s="45">
        <f>'10'!O24/'13'!$B$50</f>
        <v>37597.092190224888</v>
      </c>
      <c r="D24" s="45">
        <f>'10'!P24/'13'!$B$50</f>
        <v>38112.558806585039</v>
      </c>
      <c r="E24" s="45">
        <f>'10'!Q24/'13'!$B$50</f>
        <v>36538.458240819877</v>
      </c>
      <c r="F24" s="45">
        <f>'10'!R24/'13'!$B$50</f>
        <v>-5922884.2313043056</v>
      </c>
      <c r="G24" s="45">
        <f>'10'!S24/'13'!$B$50</f>
        <v>31829.283105534061</v>
      </c>
      <c r="H24" s="45">
        <f>'10'!T24/'13'!$B$50</f>
        <v>-5923988.4718933692</v>
      </c>
      <c r="I24" s="45">
        <f>'10'!U24/'13'!$B$50</f>
        <v>30770.649156129039</v>
      </c>
      <c r="J24" s="45">
        <f>'10'!C36/'10'!C$42*'9'!C$42</f>
        <v>43003.305291695622</v>
      </c>
      <c r="K24" s="45">
        <f>'10'!D36/'10'!D$42*'9'!D$42</f>
        <v>43462.996132563771</v>
      </c>
      <c r="L24" s="45">
        <f>'10'!E36/'10'!E$42*'9'!E$42</f>
        <v>43203.172813986617</v>
      </c>
      <c r="M24" s="45">
        <f>'10'!F36/'10'!F$42*'9'!F$42</f>
        <v>43662.719229150229</v>
      </c>
      <c r="N24" s="45">
        <f>'10'!G36/'10'!G$42*'9'!G$42</f>
        <v>36668.708988744169</v>
      </c>
      <c r="O24" s="45">
        <f>'10'!H36/'10'!H$42*'9'!H$42</f>
        <v>37130.663133001144</v>
      </c>
      <c r="P24" s="45">
        <f>'10'!I36/'10'!I$42*'9'!I$42</f>
        <v>36868.747932706086</v>
      </c>
      <c r="Q24" s="45">
        <f>'10'!J36/'10'!J$42*'9'!J$42</f>
        <v>39675.151196722232</v>
      </c>
    </row>
    <row r="25" spans="1:17">
      <c r="A25" s="13">
        <v>2002</v>
      </c>
      <c r="B25" s="45">
        <f>'10'!N25/'13'!$B$50</f>
        <v>39964.682498295653</v>
      </c>
      <c r="C25" s="45">
        <f>'10'!O25/'13'!$B$50</f>
        <v>37904.184859134388</v>
      </c>
      <c r="D25" s="45">
        <f>'10'!P25/'13'!$B$50</f>
        <v>38953.45152218677</v>
      </c>
      <c r="E25" s="45">
        <f>'10'!Q25/'13'!$B$50</f>
        <v>36945.090892721688</v>
      </c>
      <c r="F25" s="45">
        <f>'10'!R25/'13'!$B$50</f>
        <v>-5981631.3430762431</v>
      </c>
      <c r="G25" s="45">
        <f>'10'!S25/'13'!$B$50</f>
        <v>32077.793800956548</v>
      </c>
      <c r="H25" s="45">
        <f>'10'!T25/'13'!$B$50</f>
        <v>-5982642.5740523506</v>
      </c>
      <c r="I25" s="45">
        <f>'10'!U25/'13'!$B$50</f>
        <v>31118.69983454383</v>
      </c>
      <c r="J25" s="45">
        <f>'10'!C37/'10'!C$42*'9'!C$42</f>
        <v>43337.538741324272</v>
      </c>
      <c r="K25" s="45">
        <f>'10'!D37/'10'!D$42*'9'!D$42</f>
        <v>43625.212509462108</v>
      </c>
      <c r="L25" s="45">
        <f>'10'!E37/'10'!E$42*'9'!E$42</f>
        <v>43518.284101985206</v>
      </c>
      <c r="M25" s="45">
        <f>'10'!F37/'10'!F$42*'9'!F$42</f>
        <v>43806.183083954922</v>
      </c>
      <c r="N25" s="45">
        <f>'10'!G37/'10'!G$42*'9'!G$42</f>
        <v>36838.192506441948</v>
      </c>
      <c r="O25" s="45">
        <f>'10'!H37/'10'!H$42*'9'!H$42</f>
        <v>37126.785546461819</v>
      </c>
      <c r="P25" s="45">
        <f>'10'!I37/'10'!I$42*'9'!I$42</f>
        <v>37019.044313657752</v>
      </c>
      <c r="Q25" s="45">
        <f>'10'!J37/'10'!J$42*'9'!J$42</f>
        <v>40024.615631063076</v>
      </c>
    </row>
    <row r="26" spans="1:17">
      <c r="A26" s="13">
        <v>2003</v>
      </c>
      <c r="B26" s="45">
        <f>'10'!N26/'13'!$B$50</f>
        <v>40305.050057401902</v>
      </c>
      <c r="C26" s="45">
        <f>'10'!O26/'13'!$B$50</f>
        <v>38854.817144489818</v>
      </c>
      <c r="D26" s="45">
        <f>'10'!P26/'13'!$B$50</f>
        <v>39313.628682142473</v>
      </c>
      <c r="E26" s="45">
        <f>'10'!Q26/'13'!$B$50</f>
        <v>37899.068517606029</v>
      </c>
      <c r="F26" s="45">
        <f>'10'!R26/'13'!$B$50</f>
        <v>-6008408.1153155779</v>
      </c>
      <c r="G26" s="45">
        <f>'10'!S26/'13'!$B$50</f>
        <v>33087.996405528131</v>
      </c>
      <c r="H26" s="45">
        <f>'10'!T26/'13'!$B$50</f>
        <v>-6009399.5366908377</v>
      </c>
      <c r="I26" s="45">
        <f>'10'!U26/'13'!$B$50</f>
        <v>32132.247778644341</v>
      </c>
      <c r="J26" s="45">
        <f>'10'!C38/'10'!C$42*'9'!C$42</f>
        <v>44167.616999363738</v>
      </c>
      <c r="K26" s="45">
        <f>'10'!D38/'10'!D$42*'9'!D$42</f>
        <v>44220.335749789636</v>
      </c>
      <c r="L26" s="45">
        <f>'10'!E38/'10'!E$42*'9'!E$42</f>
        <v>44393.439451095692</v>
      </c>
      <c r="M26" s="45">
        <f>'10'!F38/'10'!F$42*'9'!F$42</f>
        <v>44445.81017658551</v>
      </c>
      <c r="N26" s="45">
        <f>'10'!G38/'10'!G$42*'9'!G$42</f>
        <v>37523.43292634721</v>
      </c>
      <c r="O26" s="45">
        <f>'10'!H38/'10'!H$42*'9'!H$42</f>
        <v>37576.045500598593</v>
      </c>
      <c r="P26" s="45">
        <f>'10'!I38/'10'!I$42*'9'!I$42</f>
        <v>37749.060833686468</v>
      </c>
      <c r="Q26" s="45">
        <f>'10'!J38/'10'!J$42*'9'!J$42</f>
        <v>40826.271081918894</v>
      </c>
    </row>
    <row r="27" spans="1:17">
      <c r="A27" s="13">
        <v>2004</v>
      </c>
      <c r="B27" s="45">
        <f>'10'!N27/'13'!$B$50</f>
        <v>41161.370686880597</v>
      </c>
      <c r="C27" s="45">
        <f>'10'!O27/'13'!$B$50</f>
        <v>40248.867340433564</v>
      </c>
      <c r="D27" s="45">
        <f>'10'!P27/'13'!$B$50</f>
        <v>40274.183850930865</v>
      </c>
      <c r="E27" s="45">
        <f>'10'!Q27/'13'!$B$50</f>
        <v>39381.348483057387</v>
      </c>
      <c r="F27" s="45">
        <f>'10'!R27/'13'!$B$50</f>
        <v>-6034506.2394771241</v>
      </c>
      <c r="G27" s="45">
        <f>'10'!S27/'13'!$B$50</f>
        <v>34421.123346924534</v>
      </c>
      <c r="H27" s="45">
        <f>'10'!T27/'13'!$B$50</f>
        <v>-6035393.4263130734</v>
      </c>
      <c r="I27" s="45">
        <f>'10'!U27/'13'!$B$50</f>
        <v>33553.60448954835</v>
      </c>
      <c r="J27" s="45">
        <f>'10'!C39/'10'!C$42*'9'!C$42</f>
        <v>45433.56386514585</v>
      </c>
      <c r="K27" s="45">
        <f>'10'!D39/'10'!D$42*'9'!D$42</f>
        <v>45515.449476647969</v>
      </c>
      <c r="L27" s="45">
        <f>'10'!E39/'10'!E$42*'9'!E$42</f>
        <v>45725.303293911573</v>
      </c>
      <c r="M27" s="45">
        <f>'10'!F39/'10'!F$42*'9'!F$42</f>
        <v>45807.465466960566</v>
      </c>
      <c r="N27" s="45">
        <f>'10'!G39/'10'!G$42*'9'!G$42</f>
        <v>38611.965602518649</v>
      </c>
      <c r="O27" s="45">
        <f>'10'!H39/'10'!H$42*'9'!H$42</f>
        <v>38694.100972552296</v>
      </c>
      <c r="P27" s="45">
        <f>'10'!I39/'10'!I$42*'9'!I$42</f>
        <v>38903.992236224745</v>
      </c>
      <c r="Q27" s="45">
        <f>'10'!J39/'10'!J$42*'9'!J$42</f>
        <v>42029.603887200537</v>
      </c>
    </row>
    <row r="28" spans="1:17">
      <c r="A28" s="13">
        <v>2005</v>
      </c>
      <c r="B28" s="45">
        <f>'10'!N28/'13'!$B$50</f>
        <v>42080.25015734278</v>
      </c>
      <c r="C28" s="45">
        <f>'10'!O28/'13'!$B$50</f>
        <v>41563.387265205944</v>
      </c>
      <c r="D28" s="45">
        <f>'10'!P28/'13'!$B$50</f>
        <v>41219.831809680138</v>
      </c>
      <c r="E28" s="45">
        <f>'10'!Q28/'13'!$B$50</f>
        <v>40713.537255753217</v>
      </c>
      <c r="F28" s="45">
        <f>'10'!R28/'13'!$B$50</f>
        <v>-6189111.0386819458</v>
      </c>
      <c r="G28" s="45">
        <f>'10'!S28/'13'!$B$50</f>
        <v>35590.34539706933</v>
      </c>
      <c r="H28" s="45">
        <f>'10'!T28/'13'!$B$50</f>
        <v>-6189971.457029609</v>
      </c>
      <c r="I28" s="45">
        <f>'10'!U28/'13'!$B$50</f>
        <v>34740.495387616589</v>
      </c>
      <c r="J28" s="45">
        <f>'10'!C40/'10'!C$42*'9'!C$42</f>
        <v>46595.732572449473</v>
      </c>
      <c r="K28" s="45">
        <f>'10'!D40/'10'!D$42*'9'!D$42</f>
        <v>46792.469065938581</v>
      </c>
      <c r="L28" s="45">
        <f>'10'!E40/'10'!E$42*'9'!E$42</f>
        <v>46874.650385343317</v>
      </c>
      <c r="M28" s="45">
        <f>'10'!F40/'10'!F$42*'9'!F$42</f>
        <v>47071.627737233306</v>
      </c>
      <c r="N28" s="45">
        <f>'10'!G40/'10'!G$42*'9'!G$42</f>
        <v>39566.822680697522</v>
      </c>
      <c r="O28" s="45">
        <f>'10'!H40/'10'!H$42*'9'!H$42</f>
        <v>39763.985171613283</v>
      </c>
      <c r="P28" s="45">
        <f>'10'!I40/'10'!I$42*'9'!I$42</f>
        <v>39845.971829966766</v>
      </c>
      <c r="Q28" s="45">
        <f>'10'!J40/'10'!J$42*'9'!J$42</f>
        <v>42833.152295682412</v>
      </c>
    </row>
    <row r="29" spans="1:17">
      <c r="A29" s="13">
        <v>2006</v>
      </c>
      <c r="B29" s="45">
        <f>'10'!N29/'13'!$B$50</f>
        <v>42757.019559099208</v>
      </c>
      <c r="C29" s="45">
        <f>'10'!O29/'13'!$B$50</f>
        <v>42355.690394520425</v>
      </c>
      <c r="D29" s="45">
        <f>'10'!P29/'13'!$B$50</f>
        <v>42076.597115127573</v>
      </c>
      <c r="E29" s="45">
        <f>'10'!Q29/'13'!$B$50</f>
        <v>41681.654583055344</v>
      </c>
      <c r="F29" s="45">
        <f>'10'!R29/'13'!$B$50</f>
        <v>-6335931.5036317324</v>
      </c>
      <c r="G29" s="45">
        <f>'10'!S29/'13'!$B$50</f>
        <v>36148.594908339051</v>
      </c>
      <c r="H29" s="45">
        <f>'10'!T29/'13'!$B$50</f>
        <v>-6336611.9260757035</v>
      </c>
      <c r="I29" s="45">
        <f>'10'!U29/'13'!$B$50</f>
        <v>35474.559096873978</v>
      </c>
      <c r="J29" s="45">
        <f>'10'!C41/'10'!C$42*'9'!C$42</f>
        <v>47473.100967768209</v>
      </c>
      <c r="K29" s="45">
        <f>'10'!D41/'10'!D$42*'9'!D$42</f>
        <v>48187.325683283256</v>
      </c>
      <c r="L29" s="45">
        <f>'10'!E41/'10'!E$42*'9'!E$42</f>
        <v>47646.282671975692</v>
      </c>
      <c r="M29" s="45">
        <f>'10'!F41/'10'!F$42*'9'!F$42</f>
        <v>48360.599080784501</v>
      </c>
      <c r="N29" s="45">
        <f>'10'!G41/'10'!G$42*'9'!G$42</f>
        <v>40220.082433709009</v>
      </c>
      <c r="O29" s="45">
        <f>'10'!H41/'10'!H$42*'9'!H$42</f>
        <v>40935.172995729692</v>
      </c>
      <c r="P29" s="45">
        <f>'10'!I41/'10'!I$42*'9'!I$42</f>
        <v>40393.357558248099</v>
      </c>
      <c r="Q29" s="45">
        <f>'10'!J41/'10'!J$42*'9'!J$42</f>
        <v>43333.345478905787</v>
      </c>
    </row>
    <row r="30" spans="1:17">
      <c r="A30" s="13">
        <v>2007</v>
      </c>
      <c r="B30" s="45">
        <f>'10'!N30/'13'!$B$50</f>
        <v>43218.99324980157</v>
      </c>
      <c r="C30" s="45">
        <f>'10'!O30/'13'!$B$50</f>
        <v>43156.51858196922</v>
      </c>
      <c r="D30" s="45">
        <f>'10'!P30/'13'!$B$50</f>
        <v>42582.81472725355</v>
      </c>
      <c r="E30" s="45">
        <f>'10'!Q30/'13'!$B$50</f>
        <v>42521.259679220042</v>
      </c>
      <c r="F30" s="45">
        <f>'10'!R30/'13'!$B$50</f>
        <v>-6468424.761940036</v>
      </c>
      <c r="G30" s="45">
        <f>'10'!S30/'13'!$B$50</f>
        <v>36713.248623391315</v>
      </c>
      <c r="H30" s="45">
        <f>'10'!T30/'13'!$B$50</f>
        <v>-6469060.9404625846</v>
      </c>
      <c r="I30" s="45">
        <f>'10'!U30/'13'!$B$50</f>
        <v>36077.989720642145</v>
      </c>
      <c r="J30" s="45">
        <f>'10'!C42/'10'!C$42*'9'!C$42</f>
        <v>47902.192935935513</v>
      </c>
      <c r="K30" s="45">
        <f>'10'!D42/'10'!D$42*'9'!D$42</f>
        <v>47843.524607551975</v>
      </c>
      <c r="L30" s="45">
        <f>'10'!E42/'10'!E$42*'9'!E$42</f>
        <v>48263.48377174374</v>
      </c>
      <c r="M30" s="45">
        <f>'10'!F42/'10'!F$42*'9'!F$42</f>
        <v>48204.81544336021</v>
      </c>
      <c r="N30" s="45">
        <f>'10'!G42/'10'!G$42*'9'!G$42</f>
        <v>40435.073716588886</v>
      </c>
      <c r="O30" s="45">
        <f>'10'!H42/'10'!H$42*'9'!H$42</f>
        <v>40376.405388205349</v>
      </c>
      <c r="P30" s="45">
        <f>'10'!I42/'10'!I$42*'9'!I$42</f>
        <v>40796.364552397114</v>
      </c>
      <c r="Q30" s="45">
        <f>'10'!J42/'10'!J$42*'9'!J$42</f>
        <v>43807.011030971582</v>
      </c>
    </row>
    <row r="31" spans="1:17">
      <c r="A31" s="13">
        <v>2008</v>
      </c>
      <c r="B31" s="45">
        <f>'10'!N31/'13'!$B$50</f>
        <v>43193.33919772529</v>
      </c>
      <c r="C31" s="45">
        <f>'10'!O31/'13'!$B$50</f>
        <v>43753.328281154616</v>
      </c>
      <c r="D31" s="45">
        <f>'10'!P31/'13'!$B$50</f>
        <v>42558.723396733047</v>
      </c>
      <c r="E31" s="45">
        <f>'10'!Q31/'13'!$B$50</f>
        <v>43110.484870828877</v>
      </c>
      <c r="F31" s="45">
        <f>'10'!R31/'13'!$B$50</f>
        <v>-6713116.9353647344</v>
      </c>
      <c r="G31" s="45">
        <f>'10'!S31/'13'!$B$50</f>
        <v>36976.777545935693</v>
      </c>
      <c r="H31" s="45">
        <f>'10'!T31/'13'!$B$50</f>
        <v>-6713751.551165726</v>
      </c>
      <c r="I31" s="45">
        <f>'10'!U31/'13'!$B$50</f>
        <v>36333.934135609954</v>
      </c>
      <c r="J31" s="45">
        <f>'10'!C43/'10'!C$42*'9'!C$42</f>
        <v>47389.696793859774</v>
      </c>
      <c r="K31" s="45">
        <f>'10'!D43/'10'!D$42*'9'!D$42</f>
        <v>46800.730678475025</v>
      </c>
      <c r="L31" s="45">
        <f>'10'!E43/'10'!E$42*'9'!E$42</f>
        <v>47883.035276736722</v>
      </c>
      <c r="M31" s="45">
        <f>'10'!F43/'10'!F$42*'9'!F$42</f>
        <v>47293.915199398631</v>
      </c>
      <c r="N31" s="45">
        <f>'10'!G43/'10'!G$42*'9'!G$42</f>
        <v>39757.675435766847</v>
      </c>
      <c r="O31" s="45">
        <f>'10'!H43/'10'!H$42*'9'!H$42</f>
        <v>39169.073052784966</v>
      </c>
      <c r="P31" s="45">
        <f>'10'!I43/'10'!I$42*'9'!I$42</f>
        <v>40251.027755270647</v>
      </c>
      <c r="Q31" s="45">
        <f>'10'!J43/'10'!J$42*'9'!J$42</f>
        <v>42873.470846191078</v>
      </c>
    </row>
    <row r="32" spans="1:17">
      <c r="A32" s="13">
        <v>2009</v>
      </c>
      <c r="B32" s="45">
        <f>'10'!N32/'13'!$B$50</f>
        <v>41451.938262866955</v>
      </c>
      <c r="C32" s="45">
        <f>'10'!O32/'13'!$B$50</f>
        <v>40568.10215475029</v>
      </c>
      <c r="D32" s="45">
        <f>'10'!P32/'13'!$B$50</f>
        <v>40738.198445845162</v>
      </c>
      <c r="E32" s="45">
        <f>'10'!Q32/'13'!$B$50</f>
        <v>39869.580661612017</v>
      </c>
      <c r="F32" s="45">
        <f>'10'!R32/'13'!$B$50</f>
        <v>-6831446.5812516026</v>
      </c>
      <c r="G32" s="45">
        <f>'10'!S32/'13'!$B$50</f>
        <v>33641.519035568883</v>
      </c>
      <c r="H32" s="45">
        <f>'10'!T32/'13'!$B$50</f>
        <v>-6832160.3210686259</v>
      </c>
      <c r="I32" s="45">
        <f>'10'!U32/'13'!$B$50</f>
        <v>32942.997542430625</v>
      </c>
      <c r="J32" s="45">
        <f>'10'!C44/'10'!C$42*'9'!C$42</f>
        <v>45781.953531591607</v>
      </c>
      <c r="K32" s="45">
        <f>'10'!D44/'10'!D$42*'9'!D$42</f>
        <v>45173.175521248457</v>
      </c>
      <c r="L32" s="45">
        <f>'10'!E44/'10'!E$42*'9'!E$42</f>
        <v>46222.244893767129</v>
      </c>
      <c r="M32" s="45">
        <f>'10'!F44/'10'!F$42*'9'!F$42</f>
        <v>45613.32185370451</v>
      </c>
      <c r="N32" s="45">
        <f>'10'!G44/'10'!G$42*'9'!G$42</f>
        <v>38092.767258762404</v>
      </c>
      <c r="O32" s="45">
        <f>'10'!H44/'10'!H$42*'9'!H$42</f>
        <v>37486.665755082802</v>
      </c>
      <c r="P32" s="45">
        <f>'10'!I44/'10'!I$42*'9'!I$42</f>
        <v>38532.866248894235</v>
      </c>
      <c r="Q32" s="45">
        <f>'10'!J44/'10'!J$42*'9'!J$42</f>
        <v>41650.285100184883</v>
      </c>
    </row>
    <row r="33" spans="1:19">
      <c r="A33" s="13">
        <v>2010</v>
      </c>
      <c r="B33" s="45">
        <f>'10'!N33/'13'!$B$50</f>
        <v>42257.856068322413</v>
      </c>
      <c r="C33" s="45">
        <f>'10'!O33/'13'!$B$50</f>
        <v>42086.280789406053</v>
      </c>
      <c r="D33" s="45">
        <f>'10'!P33/'13'!$B$50</f>
        <v>41422.665533711006</v>
      </c>
      <c r="E33" s="45">
        <f>'10'!Q33/'13'!$B$50</f>
        <v>41254.481294053534</v>
      </c>
      <c r="F33" s="45">
        <f>'10'!R33/'13'!$B$50</f>
        <v>-6774272.8227410913</v>
      </c>
      <c r="G33" s="45">
        <f>'10'!S33/'13'!$B$50</f>
        <v>35288.578262654526</v>
      </c>
      <c r="H33" s="45">
        <f>'10'!T33/'13'!$B$50</f>
        <v>-6775108.0132757016</v>
      </c>
      <c r="I33" s="45">
        <f>'10'!U33/'13'!$B$50</f>
        <v>34456.778767302014</v>
      </c>
      <c r="J33" s="45">
        <f>'10'!C45/'10'!C$42*'9'!C$42</f>
        <v>46570.933380077731</v>
      </c>
      <c r="K33" s="45">
        <f>'10'!D45/'10'!D$42*'9'!D$42</f>
        <v>46380.939785237577</v>
      </c>
      <c r="L33" s="45">
        <f>'10'!E45/'10'!E$42*'9'!E$42</f>
        <v>47169.952343716111</v>
      </c>
      <c r="M33" s="45">
        <f>'10'!F45/'10'!F$42*'9'!F$42</f>
        <v>46980.294102121567</v>
      </c>
      <c r="N33" s="45">
        <f>'10'!G45/'10'!G$42*'9'!G$42</f>
        <v>38853.338340673094</v>
      </c>
      <c r="O33" s="45">
        <f>'10'!H45/'10'!H$42*'9'!H$42</f>
        <v>38665.157365778286</v>
      </c>
      <c r="P33" s="45">
        <f>'10'!I45/'10'!I$42*'9'!I$42</f>
        <v>39451.671249100124</v>
      </c>
      <c r="Q33" s="45">
        <f>'10'!J45/'10'!J$42*'9'!J$42</f>
        <v>42642.727662454716</v>
      </c>
    </row>
    <row r="34" spans="1:19">
      <c r="A34" s="13">
        <v>2011</v>
      </c>
      <c r="B34" s="45">
        <f>'10'!N34/'13'!$B$50</f>
        <v>43155.42882395268</v>
      </c>
      <c r="C34" s="45">
        <f>'10'!O34/'13'!$B$50</f>
        <v>43342.778402645148</v>
      </c>
      <c r="D34" s="45">
        <f>'10'!P34/'13'!$B$50</f>
        <v>42340.296968735689</v>
      </c>
      <c r="E34" s="45">
        <f>'10'!Q34/'13'!$B$50</f>
        <v>42524.107835988696</v>
      </c>
      <c r="F34" s="45">
        <f>'10'!R34/'13'!$B$50</f>
        <v>-6843461.1840196745</v>
      </c>
      <c r="G34" s="45">
        <f>'10'!S34/'13'!$B$50</f>
        <v>36500.530681203018</v>
      </c>
      <c r="H34" s="45">
        <f>'10'!T34/'13'!$B$50</f>
        <v>-6844276.3158748904</v>
      </c>
      <c r="I34" s="45">
        <f>'10'!U34/'13'!$B$50</f>
        <v>35681.860114546558</v>
      </c>
      <c r="J34" s="45">
        <f>'10'!C46/'10'!C$42*'9'!C$42</f>
        <v>46951.662033088207</v>
      </c>
      <c r="K34" s="45">
        <f>'10'!D46/'10'!D$42*'9'!D$42</f>
        <v>47112.195586704052</v>
      </c>
      <c r="L34" s="45">
        <f>'10'!E46/'10'!E$42*'9'!E$42</f>
        <v>47652.53066804204</v>
      </c>
      <c r="M34" s="45">
        <f>'10'!F46/'10'!F$42*'9'!F$42</f>
        <v>47813.001657873756</v>
      </c>
      <c r="N34" s="45">
        <f>'10'!G46/'10'!G$42*'9'!G$42</f>
        <v>39144.881857250293</v>
      </c>
      <c r="O34" s="45">
        <f>'10'!H46/'10'!H$42*'9'!H$42</f>
        <v>39304.301910716822</v>
      </c>
      <c r="P34" s="45">
        <f>'10'!I46/'10'!I$42*'9'!I$42</f>
        <v>39844.180241722788</v>
      </c>
      <c r="Q34" s="45">
        <f>'10'!J46/'10'!J$42*'9'!J$42</f>
        <v>42968.66762788959</v>
      </c>
    </row>
    <row r="35" spans="1:19">
      <c r="A35" s="13">
        <v>2012</v>
      </c>
      <c r="B35" s="45">
        <f>'10'!N35/'13'!$B$50</f>
        <v>43451.778619223638</v>
      </c>
      <c r="C35" s="45">
        <f>'10'!O35/'13'!$B$50</f>
        <v>43451.778619223631</v>
      </c>
      <c r="D35" s="45">
        <f>'10'!P35/'13'!$B$50</f>
        <v>42680.767222348833</v>
      </c>
      <c r="E35" s="45">
        <f>'10'!Q35/'13'!$B$50</f>
        <v>42680.767222348819</v>
      </c>
      <c r="F35" s="45">
        <f>'10'!R35/'13'!$B$50</f>
        <v>-6950579.8194049532</v>
      </c>
      <c r="G35" s="45">
        <f>'10'!S35/'13'!$B$50</f>
        <v>36457.743090506716</v>
      </c>
      <c r="H35" s="45">
        <f>'10'!T35/'13'!$B$50</f>
        <v>-6951350.830801825</v>
      </c>
      <c r="I35" s="45">
        <f>'10'!U35/'13'!$B$50</f>
        <v>35686.731693631889</v>
      </c>
      <c r="J35" s="45">
        <f>'10'!C47/'10'!C$42*'9'!C$42</f>
        <v>47668.283513160124</v>
      </c>
      <c r="K35" s="45">
        <f>'10'!D47/'10'!D$42*'9'!D$42</f>
        <v>48378.613614366841</v>
      </c>
      <c r="L35" s="45">
        <f>'10'!E47/'10'!E$42*'9'!E$42</f>
        <v>48338.303427334751</v>
      </c>
      <c r="M35" s="45">
        <f>'10'!F47/'10'!F$42*'9'!F$42</f>
        <v>49048.415469675689</v>
      </c>
      <c r="N35" s="45">
        <f>'10'!G47/'10'!G$42*'9'!G$42</f>
        <v>39718.694666714182</v>
      </c>
      <c r="O35" s="45">
        <f>'10'!H47/'10'!H$42*'9'!H$42</f>
        <v>40422.567544927304</v>
      </c>
      <c r="P35" s="45">
        <f>'10'!I47/'10'!I$42*'9'!I$42</f>
        <v>40387.504249549587</v>
      </c>
      <c r="Q35" s="45">
        <f>'10'!J47/'10'!J$42*'9'!J$42</f>
        <v>43640.6437557955</v>
      </c>
    </row>
    <row r="36" spans="1:19" s="42" customFormat="1">
      <c r="A36" s="13">
        <v>2013</v>
      </c>
      <c r="B36" s="45">
        <f>'10'!N36/'13'!$B$50</f>
        <v>43995.703971045521</v>
      </c>
      <c r="C36" s="45">
        <f>'10'!O36/'13'!$B$50</f>
        <v>44007.123870549265</v>
      </c>
      <c r="D36" s="45">
        <f>'10'!P36/'13'!$B$50</f>
        <v>43325.631401369166</v>
      </c>
      <c r="E36" s="45">
        <f>'10'!Q36/'13'!$B$50</f>
        <v>43336.877371131712</v>
      </c>
      <c r="F36" s="45">
        <f>'10'!R36/'13'!$B$50</f>
        <v>-7131073.901400784</v>
      </c>
      <c r="G36" s="45">
        <f>'10'!S36/'13'!$B$50</f>
        <v>36859.185088137296</v>
      </c>
      <c r="H36" s="45">
        <f>'10'!T36/'13'!$B$50</f>
        <v>-7131743.9739704588</v>
      </c>
      <c r="I36" s="45">
        <f>'10'!U36/'13'!$B$50</f>
        <v>36188.93858871975</v>
      </c>
      <c r="J36" s="45">
        <f>'10'!C48/'10'!C$42*'9'!C$42</f>
        <v>48214.168396584922</v>
      </c>
      <c r="K36" s="45">
        <f>'10'!D48/'10'!D$42*'9'!D$42</f>
        <v>48674.404433572236</v>
      </c>
      <c r="L36" s="45">
        <f>'10'!E48/'10'!E$42*'9'!E$42</f>
        <v>48863.576531020917</v>
      </c>
      <c r="M36" s="45">
        <f>'10'!F48/'10'!F$42*'9'!F$42</f>
        <v>49323.957258731323</v>
      </c>
      <c r="N36" s="45">
        <f>'10'!G48/'10'!G$42*'9'!G$42</f>
        <v>40097.835135643341</v>
      </c>
      <c r="O36" s="45">
        <f>'10'!H48/'10'!H$42*'9'!H$42</f>
        <v>40553.333291985946</v>
      </c>
      <c r="P36" s="45">
        <f>'10'!I48/'10'!I$42*'9'!I$42</f>
        <v>40746.29308097274</v>
      </c>
      <c r="Q36" s="45">
        <f>'10'!J48/'10'!J$42*'9'!J$42</f>
        <v>44189.555391132213</v>
      </c>
    </row>
    <row r="37" spans="1:19" s="42" customFormat="1">
      <c r="A37" s="13">
        <v>2014</v>
      </c>
      <c r="B37" s="45">
        <f>'10'!N37/'13'!$B$50</f>
        <v>44799.432304245805</v>
      </c>
      <c r="C37" s="45">
        <f>'10'!O37/'13'!$B$50</f>
        <v>44649.875688495536</v>
      </c>
      <c r="D37" s="45">
        <f>'10'!P37/'13'!$B$50</f>
        <v>44075.528604031773</v>
      </c>
      <c r="E37" s="45">
        <f>'10'!Q37/'13'!$B$50</f>
        <v>43928.388639162215</v>
      </c>
      <c r="F37" s="45">
        <f>'10'!R37/'13'!$B$50</f>
        <v>-7138880.692037913</v>
      </c>
      <c r="G37" s="45">
        <f>'10'!S37/'13'!$B$50</f>
        <v>37415.80135187618</v>
      </c>
      <c r="H37" s="45">
        <f>'10'!T37/'13'!$B$50</f>
        <v>-7139604.5957381278</v>
      </c>
      <c r="I37" s="45">
        <f>'10'!U37/'13'!$B$50</f>
        <v>36694.314302542851</v>
      </c>
      <c r="J37" s="45">
        <f>'10'!C49/'10'!C$42*'9'!C$42</f>
        <v>49040.339035372672</v>
      </c>
      <c r="K37" s="45">
        <f>'10'!D49/'10'!D$42*'9'!D$42</f>
        <v>49877.105293588123</v>
      </c>
      <c r="L37" s="45">
        <f>'10'!E49/'10'!E$42*'9'!E$42</f>
        <v>49709.106202291412</v>
      </c>
      <c r="M37" s="45">
        <f>'10'!F49/'10'!F$42*'9'!F$42</f>
        <v>50545.618233816102</v>
      </c>
      <c r="N37" s="45">
        <f>'10'!G49/'10'!G$42*'9'!G$42</f>
        <v>40757.779838563722</v>
      </c>
      <c r="O37" s="45">
        <f>'10'!H49/'10'!H$42*'9'!H$42</f>
        <v>41586.641859070987</v>
      </c>
      <c r="P37" s="45">
        <f>'10'!I49/'10'!I$42*'9'!I$42</f>
        <v>41425.5112363054</v>
      </c>
      <c r="Q37" s="45">
        <f>'10'!J49/'10'!J$42*'9'!J$42</f>
        <v>44977.876060106631</v>
      </c>
    </row>
    <row r="38" spans="1:19" s="42" customFormat="1">
      <c r="A38" s="13">
        <v>2015</v>
      </c>
      <c r="B38" s="45">
        <f>'10'!N38/'13'!$B$50</f>
        <v>44747.351481837104</v>
      </c>
      <c r="C38" s="45">
        <f>'10'!O38/'13'!$B$50</f>
        <v>43516.799732364954</v>
      </c>
      <c r="D38" s="45">
        <f>'10'!P38/'13'!$B$50</f>
        <v>44061.856351675284</v>
      </c>
      <c r="E38" s="45">
        <f>'10'!Q38/'13'!$B$50</f>
        <v>42850.155711905514</v>
      </c>
      <c r="F38" s="45">
        <f>'10'!R38/'13'!$B$50</f>
        <v>-7288093.5441391822</v>
      </c>
      <c r="G38" s="45">
        <f>'10'!S38/'13'!$B$50</f>
        <v>36032.620898056368</v>
      </c>
      <c r="H38" s="45">
        <f>'10'!T38/'13'!$B$50</f>
        <v>-7288779.0392693439</v>
      </c>
      <c r="I38" s="45">
        <f>'10'!U38/'13'!$B$50</f>
        <v>35365.976877596928</v>
      </c>
      <c r="J38" s="45">
        <f>'10'!C50/'10'!C$42*'9'!C$42</f>
        <v>50090.351694829813</v>
      </c>
      <c r="K38" s="45">
        <f>'10'!D50/'10'!D$42*'9'!D$42</f>
        <v>50791.16515691574</v>
      </c>
      <c r="L38" s="45">
        <f>'10'!E50/'10'!E$42*'9'!E$42</f>
        <v>50714.454832681025</v>
      </c>
      <c r="M38" s="45">
        <f>'10'!F50/'10'!F$42*'9'!F$42</f>
        <v>51415.052263722042</v>
      </c>
      <c r="N38" s="45">
        <f>'10'!G50/'10'!G$42*'9'!G$42</f>
        <v>41641.81705552114</v>
      </c>
      <c r="O38" s="45">
        <f>'10'!H50/'10'!H$42*'9'!H$42</f>
        <v>42335.40798476756</v>
      </c>
      <c r="P38" s="45">
        <f>'10'!I50/'10'!I$42*'9'!I$42</f>
        <v>42265.397711149089</v>
      </c>
      <c r="Q38" s="45">
        <f>'10'!J50/'10'!J$42*'9'!J$42</f>
        <v>46223.137673840232</v>
      </c>
    </row>
    <row r="39" spans="1:19" s="42" customFormat="1">
      <c r="A39" s="13">
        <v>2016</v>
      </c>
      <c r="B39" s="45">
        <f>'10'!N39/'13'!$B$50</f>
        <v>44773.786986515704</v>
      </c>
      <c r="C39" s="45">
        <f>'10'!O39/'13'!$B$50</f>
        <v>43365.617153498468</v>
      </c>
      <c r="D39" s="45">
        <f>'10'!P39/'13'!$B$50</f>
        <v>44234.72836011037</v>
      </c>
      <c r="E39" s="45">
        <f>'10'!Q39/'13'!$B$50</f>
        <v>42843.512333036771</v>
      </c>
      <c r="F39" s="45">
        <f>'10'!R39/'13'!$B$50</f>
        <v>-7253691.8895155573</v>
      </c>
      <c r="G39" s="45">
        <f>'10'!S39/'13'!$B$50</f>
        <v>35839.773042968554</v>
      </c>
      <c r="H39" s="45">
        <f>'10'!T39/'13'!$B$50</f>
        <v>-7254230.9481419623</v>
      </c>
      <c r="I39" s="45">
        <f>'10'!U39/'13'!$B$50</f>
        <v>35317.668222506865</v>
      </c>
      <c r="J39" s="45">
        <f>'10'!C51/'10'!C$42*'9'!C$42</f>
        <v>50514.913380935825</v>
      </c>
      <c r="K39" s="45">
        <f>'10'!D51/'10'!D$42*'9'!D$42</f>
        <v>50857.48274667612</v>
      </c>
      <c r="L39" s="45">
        <f>'10'!E51/'10'!E$42*'9'!E$42</f>
        <v>51097.19760070007</v>
      </c>
      <c r="M39" s="45">
        <f>'10'!F51/'10'!F$42*'9'!F$42</f>
        <v>51439.652135868797</v>
      </c>
      <c r="N39" s="45">
        <f>'10'!G51/'10'!G$42*'9'!G$42</f>
        <v>41918.983283038222</v>
      </c>
      <c r="O39" s="45">
        <f>'10'!H51/'10'!H$42*'9'!H$42</f>
        <v>42257.628156836719</v>
      </c>
      <c r="P39" s="45">
        <f>'10'!I51/'10'!I$42*'9'!I$42</f>
        <v>42501.469636935923</v>
      </c>
      <c r="Q39" s="45">
        <f>'10'!J51/'10'!J$42*'9'!J$42</f>
        <v>46720.031761643477</v>
      </c>
    </row>
    <row r="40" spans="1:19" s="42" customFormat="1">
      <c r="A40" s="13">
        <v>2017</v>
      </c>
      <c r="B40" s="45">
        <f>'10'!N40/'13'!$B$50</f>
        <v>45554.642199896036</v>
      </c>
      <c r="C40" s="45">
        <f>'10'!O40/'13'!$B$50</f>
        <v>44601.790299347507</v>
      </c>
      <c r="D40" s="45">
        <f>'10'!P40/'13'!$B$50</f>
        <v>45062.828334310849</v>
      </c>
      <c r="E40" s="45">
        <f>'10'!Q40/'13'!$B$50</f>
        <v>44120.263547301329</v>
      </c>
      <c r="F40" s="45">
        <f>'10'!R40/'13'!$B$50</f>
        <v>-7086931.0589584773</v>
      </c>
      <c r="G40" s="45">
        <f>'10'!S40/'13'!$B$50</f>
        <v>37224.70465250437</v>
      </c>
      <c r="H40" s="45">
        <f>'10'!T40/'13'!$B$50</f>
        <v>-7087422.8728240617</v>
      </c>
      <c r="I40" s="45">
        <f>'10'!U40/'13'!$B$50</f>
        <v>36743.177900458184</v>
      </c>
      <c r="J40" s="45">
        <f>'10'!C52/'10'!C$42*'9'!C$42</f>
        <v>51302.706993121028</v>
      </c>
      <c r="K40" s="45">
        <f>'10'!D52/'10'!D$42*'9'!D$42</f>
        <v>51679.449651483745</v>
      </c>
      <c r="L40" s="45">
        <f>'10'!E52/'10'!E$42*'9'!E$42</f>
        <v>51951.113159798238</v>
      </c>
      <c r="M40" s="45">
        <f>'10'!F52/'10'!F$42*'9'!F$42</f>
        <v>52328.015026687717</v>
      </c>
      <c r="N40" s="45">
        <f>'10'!G52/'10'!G$42*'9'!G$42</f>
        <v>42499.524618491407</v>
      </c>
      <c r="O40" s="45">
        <f>'10'!H52/'10'!H$42*'9'!H$42</f>
        <v>42871.190712180469</v>
      </c>
      <c r="P40" s="45">
        <f>'10'!I52/'10'!I$42*'9'!I$42</f>
        <v>43147.343657732716</v>
      </c>
      <c r="Q40" s="45">
        <f>'10'!J52/'10'!J$42*'9'!J$42</f>
        <v>47516.907316747944</v>
      </c>
    </row>
    <row r="41" spans="1:19" s="42" customFormat="1">
      <c r="A41" s="13">
        <v>2018</v>
      </c>
      <c r="B41" s="45">
        <f>'10'!N41/'13'!$B$50</f>
        <v>45776.638081177764</v>
      </c>
      <c r="C41" s="45">
        <f>'10'!O41/'13'!$B$50</f>
        <v>44868.228981379376</v>
      </c>
      <c r="D41" s="45">
        <f>'10'!P41/'13'!$B$50</f>
        <v>45187.788052256874</v>
      </c>
      <c r="E41" s="45">
        <f>'10'!Q41/'13'!$B$50</f>
        <v>44291.064317463664</v>
      </c>
      <c r="F41" s="45">
        <f>'10'!R41/'13'!$B$50</f>
        <v>-7152921.2047615396</v>
      </c>
      <c r="G41" s="45">
        <f>'10'!S41/'13'!$B$50</f>
        <v>37443.034392843081</v>
      </c>
      <c r="H41" s="45">
        <f>'10'!T41/'13'!$B$50</f>
        <v>-7153510.0547904586</v>
      </c>
      <c r="I41" s="45">
        <f>'10'!U41/'13'!$B$50</f>
        <v>36865.869728927362</v>
      </c>
      <c r="J41" s="45">
        <f>'10'!C53/'10'!C$42*'9'!C$42</f>
        <v>52441.898346097201</v>
      </c>
      <c r="K41" s="45">
        <f>'10'!D53/'10'!D$42*'9'!D$42</f>
        <v>52564.073841799705</v>
      </c>
      <c r="L41" s="45">
        <f>'10'!E53/'10'!E$42*'9'!E$42</f>
        <v>53131.626364547774</v>
      </c>
      <c r="M41" s="45">
        <f>'10'!F53/'10'!F$42*'9'!F$42</f>
        <v>53253.748379680466</v>
      </c>
      <c r="N41" s="45">
        <f>'10'!G53/'10'!G$42*'9'!G$42</f>
        <v>43419.250990782457</v>
      </c>
      <c r="O41" s="45">
        <f>'10'!H53/'10'!H$42*'9'!H$42</f>
        <v>43539.54040173487</v>
      </c>
      <c r="P41" s="45">
        <f>'10'!I53/'10'!I$42*'9'!I$42</f>
        <v>44107.578811634965</v>
      </c>
      <c r="Q41" s="45">
        <f>'10'!J53/'10'!J$42*'9'!J$42</f>
        <v>48628.319902036426</v>
      </c>
    </row>
    <row r="42" spans="1:19" s="42" customFormat="1">
      <c r="A42" s="13"/>
      <c r="B42" s="45"/>
      <c r="C42" s="45"/>
      <c r="D42" s="45"/>
      <c r="E42" s="45"/>
      <c r="F42" s="45"/>
      <c r="G42" s="45"/>
      <c r="H42" s="45"/>
      <c r="I42" s="45"/>
      <c r="J42" s="45"/>
      <c r="K42" s="45"/>
      <c r="L42" s="45"/>
      <c r="M42" s="45"/>
      <c r="N42" s="45"/>
      <c r="O42" s="45"/>
      <c r="P42" s="45"/>
      <c r="Q42" s="45"/>
    </row>
    <row r="43" spans="1:19">
      <c r="A43" s="5" t="s">
        <v>139</v>
      </c>
      <c r="B43" s="5"/>
      <c r="C43" s="41"/>
      <c r="D43" s="41"/>
      <c r="E43" s="41"/>
      <c r="F43" s="41"/>
      <c r="G43" s="41"/>
      <c r="H43" s="41"/>
      <c r="I43" s="45"/>
    </row>
    <row r="44" spans="1:19">
      <c r="A44" s="66" t="s">
        <v>138</v>
      </c>
      <c r="B44" s="57">
        <f t="shared" ref="B44:I44" si="0">100*((B12/B4)^(1/8)-1)</f>
        <v>1.6462546558977387</v>
      </c>
      <c r="C44" s="57">
        <f t="shared" si="0"/>
        <v>1.5560343945545174</v>
      </c>
      <c r="D44" s="57">
        <f t="shared" si="0"/>
        <v>1.6332084438205774</v>
      </c>
      <c r="E44" s="57">
        <f t="shared" si="0"/>
        <v>1.5429997621727143</v>
      </c>
      <c r="F44" s="57">
        <f t="shared" si="0"/>
        <v>2.3301851263872075</v>
      </c>
      <c r="G44" s="57">
        <f t="shared" si="0"/>
        <v>1.6772943218095415</v>
      </c>
      <c r="H44" s="57">
        <f t="shared" si="0"/>
        <v>2.330102761820152</v>
      </c>
      <c r="I44" s="58">
        <f t="shared" si="0"/>
        <v>1.6668494486540508</v>
      </c>
    </row>
    <row r="45" spans="1:19">
      <c r="A45" s="67" t="s">
        <v>27</v>
      </c>
      <c r="B45" s="10">
        <f>100*((B23/B12)^(1/11)-1)</f>
        <v>1.5071261861590468</v>
      </c>
      <c r="C45" s="10">
        <f>100*((C23/C12)^(1/11)-1)</f>
        <v>1.5004675274146839</v>
      </c>
      <c r="D45" s="10">
        <f t="shared" ref="D45:I45" si="1">100*((D23/D12)^(1/11)-1)</f>
        <v>1.584672416394306</v>
      </c>
      <c r="E45" s="10">
        <f>100*((E23/E12)^(1/11)-1)</f>
        <v>1.5780086707767094</v>
      </c>
      <c r="F45" s="10">
        <f t="shared" si="1"/>
        <v>2.5063057952513512</v>
      </c>
      <c r="G45" s="10">
        <f t="shared" si="1"/>
        <v>1.4926093320763334</v>
      </c>
      <c r="H45" s="10">
        <f t="shared" si="1"/>
        <v>2.5055399707086812</v>
      </c>
      <c r="I45" s="11">
        <f t="shared" si="1"/>
        <v>1.5839299361811721</v>
      </c>
    </row>
    <row r="46" spans="1:19">
      <c r="A46" s="67" t="s">
        <v>28</v>
      </c>
      <c r="B46" s="10">
        <f>100*((B31/B23)^(1/8)-1)</f>
        <v>1.3059345420549873</v>
      </c>
      <c r="C46" s="10">
        <f>100*((C31/C23)^(1/8)-1)</f>
        <v>1.9655343089618471</v>
      </c>
      <c r="D46" s="10">
        <f t="shared" ref="D46:I46" si="2">100*((D31/D23)^(1/8)-1)</f>
        <v>1.4553076754418637</v>
      </c>
      <c r="E46" s="10">
        <f t="shared" si="2"/>
        <v>2.1158800061418459</v>
      </c>
      <c r="F46" s="10">
        <f>100*((F31/F23)^(1/8)-1)</f>
        <v>2.0411997815951599</v>
      </c>
      <c r="G46" s="10">
        <f t="shared" si="2"/>
        <v>1.8816295538229832</v>
      </c>
      <c r="H46" s="10">
        <f t="shared" si="2"/>
        <v>2.0401241360554767</v>
      </c>
      <c r="I46" s="11">
        <f t="shared" si="2"/>
        <v>2.0574078638535997</v>
      </c>
    </row>
    <row r="47" spans="1:19" s="42" customFormat="1">
      <c r="A47" s="68" t="s">
        <v>152</v>
      </c>
      <c r="B47" s="59">
        <f>100*((B31/B4)^(1/17)-1)</f>
        <v>2.3746595952474747</v>
      </c>
      <c r="C47" s="59">
        <f t="shared" ref="C47:I47" si="3">100*((C31/C4)^(1/17)-1)</f>
        <v>2.6405366111758699</v>
      </c>
      <c r="D47" s="59">
        <f t="shared" si="3"/>
        <v>2.4901098275440736</v>
      </c>
      <c r="E47" s="59">
        <f t="shared" si="3"/>
        <v>2.7562866790310947</v>
      </c>
      <c r="F47" s="59">
        <f t="shared" si="3"/>
        <v>3.7035406656843017</v>
      </c>
      <c r="G47" s="59">
        <f t="shared" si="3"/>
        <v>2.6532715023658504</v>
      </c>
      <c r="H47" s="59">
        <f t="shared" si="3"/>
        <v>3.7024856329410438</v>
      </c>
      <c r="I47" s="60">
        <f t="shared" si="3"/>
        <v>2.7914142739792203</v>
      </c>
      <c r="J47"/>
      <c r="K47"/>
      <c r="L47"/>
      <c r="M47"/>
      <c r="N47"/>
      <c r="O47"/>
      <c r="P47"/>
      <c r="Q47"/>
      <c r="R47"/>
      <c r="S47"/>
    </row>
    <row r="48" spans="1:19">
      <c r="A48" s="21"/>
      <c r="B48" s="21"/>
      <c r="C48" s="41"/>
      <c r="D48" s="41"/>
      <c r="E48" s="41"/>
      <c r="F48" s="41"/>
      <c r="G48" s="41"/>
      <c r="H48" s="41"/>
      <c r="I48" s="41"/>
      <c r="J48"/>
      <c r="K48"/>
      <c r="L48"/>
      <c r="M48"/>
      <c r="N48"/>
      <c r="O48"/>
      <c r="P48"/>
      <c r="Q48"/>
      <c r="R48"/>
      <c r="S48"/>
    </row>
    <row r="49" spans="1:19">
      <c r="A49" s="69" t="s">
        <v>140</v>
      </c>
      <c r="B49" s="70"/>
      <c r="C49" s="41"/>
      <c r="D49" s="41"/>
      <c r="E49" s="41"/>
      <c r="F49" s="41"/>
      <c r="G49" s="41"/>
      <c r="H49" s="41"/>
      <c r="I49" s="41"/>
      <c r="J49"/>
      <c r="K49"/>
      <c r="L49"/>
      <c r="M49"/>
      <c r="N49"/>
      <c r="O49"/>
      <c r="P49"/>
      <c r="Q49"/>
      <c r="R49"/>
      <c r="S49"/>
    </row>
    <row r="50" spans="1:19" s="42" customFormat="1">
      <c r="A50" s="66" t="s">
        <v>202</v>
      </c>
      <c r="B50" s="72">
        <f>((B41/B4)^(1/37)-1)*100</f>
        <v>1.2429616349675321</v>
      </c>
      <c r="C50" s="72">
        <f t="shared" ref="C50:I50" si="4">((C41/C4)^(1/37)-1)*100</f>
        <v>1.2735255297006809</v>
      </c>
      <c r="D50" s="72">
        <f t="shared" si="4"/>
        <v>1.3004810503107533</v>
      </c>
      <c r="E50" s="72">
        <f t="shared" si="4"/>
        <v>1.3310623093853557</v>
      </c>
      <c r="F50" s="72">
        <f t="shared" si="4"/>
        <v>1.8594567883817081</v>
      </c>
      <c r="G50" s="72">
        <f t="shared" si="4"/>
        <v>1.2447281310930425</v>
      </c>
      <c r="H50" s="72">
        <f t="shared" si="4"/>
        <v>1.8589470497755389</v>
      </c>
      <c r="I50" s="72">
        <f t="shared" si="4"/>
        <v>1.3127911126759262</v>
      </c>
      <c r="J50"/>
      <c r="K50"/>
      <c r="L50"/>
      <c r="M50"/>
      <c r="N50"/>
      <c r="O50"/>
      <c r="P50"/>
      <c r="Q50"/>
      <c r="R50"/>
      <c r="S50"/>
    </row>
    <row r="51" spans="1:19">
      <c r="A51" s="67" t="s">
        <v>200</v>
      </c>
      <c r="B51" s="73">
        <f>((B41/B23)^(1/18)-1)*100</f>
        <v>0.90342332408874793</v>
      </c>
      <c r="C51" s="73">
        <f t="shared" ref="C51:I51" si="5">((C41/C23)^(1/18)-1)*100</f>
        <v>1.0099528006365155</v>
      </c>
      <c r="D51" s="73">
        <f t="shared" si="5"/>
        <v>0.97992345593977959</v>
      </c>
      <c r="E51" s="73">
        <f t="shared" si="5"/>
        <v>1.0865336980228957</v>
      </c>
      <c r="F51" s="73">
        <f t="shared" si="5"/>
        <v>1.2584594011437744</v>
      </c>
      <c r="G51" s="73">
        <f t="shared" si="5"/>
        <v>0.90216903358744105</v>
      </c>
      <c r="H51" s="73">
        <f t="shared" si="5"/>
        <v>1.257916317774832</v>
      </c>
      <c r="I51" s="73">
        <f t="shared" si="5"/>
        <v>0.99074449307641199</v>
      </c>
      <c r="J51" s="10"/>
      <c r="K51" s="10"/>
      <c r="L51" s="10"/>
      <c r="M51" s="10"/>
      <c r="N51" s="10"/>
      <c r="O51" s="10"/>
      <c r="P51" s="10"/>
      <c r="Q51" s="10"/>
    </row>
    <row r="52" spans="1:19">
      <c r="A52" s="79" t="s">
        <v>201</v>
      </c>
      <c r="B52" s="74">
        <f>((B41/B31)^(1/10)-1)*100</f>
        <v>0.58256612762641602</v>
      </c>
      <c r="C52" s="74">
        <f t="shared" ref="C52:I52" si="6">((C41/C31)^(1/10)-1)*100</f>
        <v>0.25193947853274778</v>
      </c>
      <c r="D52" s="74">
        <f t="shared" si="6"/>
        <v>0.60122037108925053</v>
      </c>
      <c r="E52" s="74">
        <f t="shared" si="6"/>
        <v>0.27053240331735839</v>
      </c>
      <c r="F52" s="74">
        <f t="shared" si="6"/>
        <v>0.63659238415330055</v>
      </c>
      <c r="G52" s="74">
        <f t="shared" si="6"/>
        <v>0.12538467530540665</v>
      </c>
      <c r="H52" s="74">
        <f t="shared" si="6"/>
        <v>0.63646951087799053</v>
      </c>
      <c r="I52" s="74">
        <f t="shared" si="6"/>
        <v>0.14544621218952614</v>
      </c>
      <c r="J52" s="10"/>
      <c r="K52" s="10"/>
      <c r="L52" s="10"/>
      <c r="M52" s="10"/>
      <c r="N52" s="10"/>
      <c r="O52" s="10"/>
      <c r="P52" s="10"/>
      <c r="Q52" s="10"/>
    </row>
    <row r="53" spans="1:19">
      <c r="C53" s="9"/>
      <c r="G53" s="9"/>
      <c r="J53" s="10"/>
      <c r="K53" s="10"/>
      <c r="L53" s="10"/>
      <c r="M53" s="10"/>
      <c r="N53" s="10"/>
      <c r="O53" s="10"/>
      <c r="P53" s="10"/>
      <c r="Q53" s="10"/>
    </row>
    <row r="54" spans="1:19">
      <c r="A54" s="174" t="s">
        <v>165</v>
      </c>
      <c r="B54" s="174"/>
      <c r="C54" s="174"/>
      <c r="D54" s="174"/>
      <c r="E54" s="174"/>
      <c r="F54" s="174"/>
      <c r="G54" s="174"/>
      <c r="H54" s="174"/>
      <c r="I54" s="174"/>
      <c r="J54" s="10"/>
      <c r="K54" s="10"/>
      <c r="L54" s="10"/>
      <c r="M54" s="10"/>
      <c r="N54" s="10"/>
      <c r="O54" s="10"/>
      <c r="P54" s="10"/>
      <c r="Q54" s="10"/>
    </row>
    <row r="55" spans="1:19">
      <c r="A55" s="174" t="s">
        <v>157</v>
      </c>
      <c r="B55" s="174"/>
      <c r="C55" s="174"/>
      <c r="D55" s="174"/>
      <c r="E55" s="174"/>
      <c r="F55" s="174"/>
      <c r="G55" s="174"/>
      <c r="H55" s="174"/>
      <c r="I55" s="174"/>
      <c r="J55" s="10"/>
      <c r="K55" s="10"/>
      <c r="L55" s="10"/>
      <c r="M55" s="10"/>
      <c r="N55" s="10"/>
      <c r="O55" s="10"/>
      <c r="P55" s="10"/>
      <c r="Q55" s="10"/>
    </row>
    <row r="56" spans="1:19">
      <c r="A56" s="174" t="s">
        <v>117</v>
      </c>
      <c r="B56" s="174"/>
      <c r="C56" s="174"/>
      <c r="D56" s="174"/>
      <c r="E56" s="174"/>
      <c r="F56" s="174"/>
      <c r="G56" s="174"/>
      <c r="H56" s="174"/>
      <c r="I56" s="174"/>
      <c r="J56" s="12"/>
      <c r="K56" s="12"/>
      <c r="L56" s="12"/>
      <c r="M56" s="12"/>
      <c r="N56" s="12"/>
      <c r="O56" s="12"/>
      <c r="P56" s="12"/>
      <c r="Q56" s="12"/>
    </row>
    <row r="57" spans="1:19">
      <c r="J57" s="12"/>
      <c r="K57" s="12"/>
      <c r="L57" s="12"/>
      <c r="M57" s="12"/>
      <c r="N57" s="12"/>
      <c r="O57" s="12"/>
      <c r="P57" s="12"/>
      <c r="Q57" s="12"/>
    </row>
    <row r="61" spans="1:19" s="42" customFormat="1">
      <c r="A61" s="15"/>
      <c r="B61" s="15"/>
      <c r="C61" s="15"/>
      <c r="D61" s="15"/>
      <c r="E61" s="15"/>
      <c r="F61" s="15"/>
      <c r="G61" s="15"/>
      <c r="H61" s="15"/>
      <c r="I61" s="15"/>
    </row>
    <row r="62" spans="1:19" s="42" customFormat="1">
      <c r="A62" s="15"/>
      <c r="B62" s="15"/>
      <c r="C62" s="15"/>
      <c r="D62" s="15"/>
      <c r="E62" s="15"/>
      <c r="F62" s="15"/>
      <c r="G62" s="15"/>
      <c r="H62" s="15"/>
      <c r="I62" s="15"/>
    </row>
    <row r="63" spans="1:19" s="42" customFormat="1">
      <c r="A63" s="15"/>
      <c r="B63" s="15"/>
      <c r="C63" s="15"/>
      <c r="D63" s="15"/>
      <c r="E63" s="15"/>
      <c r="F63" s="15"/>
      <c r="G63" s="15"/>
      <c r="H63" s="15"/>
      <c r="I63" s="15"/>
    </row>
    <row r="64" spans="1:19" s="42" customFormat="1">
      <c r="A64" s="15"/>
      <c r="B64" s="15"/>
      <c r="C64" s="15"/>
      <c r="D64" s="15"/>
      <c r="E64" s="15"/>
      <c r="F64" s="15"/>
      <c r="G64" s="15"/>
      <c r="H64" s="15"/>
      <c r="I64" s="15"/>
    </row>
    <row r="65" spans="1:9" s="42" customFormat="1">
      <c r="A65" s="15"/>
      <c r="B65" s="15"/>
      <c r="C65" s="15"/>
      <c r="D65" s="15"/>
      <c r="E65" s="15"/>
      <c r="F65" s="15"/>
      <c r="G65" s="15"/>
      <c r="H65" s="15"/>
      <c r="I65" s="15"/>
    </row>
    <row r="66" spans="1:9" s="42" customFormat="1">
      <c r="A66" s="15"/>
      <c r="B66" s="15"/>
      <c r="C66" s="15"/>
      <c r="D66" s="15"/>
      <c r="E66" s="15"/>
      <c r="F66" s="15"/>
      <c r="G66" s="15"/>
      <c r="H66" s="15"/>
      <c r="I66" s="15"/>
    </row>
    <row r="67" spans="1:9" s="42" customFormat="1">
      <c r="A67" s="15"/>
      <c r="B67" s="15"/>
      <c r="C67" s="15"/>
      <c r="D67" s="15"/>
      <c r="E67" s="15"/>
      <c r="F67" s="15"/>
      <c r="G67" s="15"/>
      <c r="H67" s="15"/>
      <c r="I67" s="15"/>
    </row>
    <row r="68" spans="1:9" s="42" customFormat="1">
      <c r="A68" s="15"/>
      <c r="B68" s="15"/>
      <c r="C68" s="15"/>
      <c r="D68" s="15"/>
      <c r="E68" s="15"/>
      <c r="F68" s="15"/>
      <c r="G68" s="15"/>
      <c r="H68" s="15"/>
      <c r="I68" s="15"/>
    </row>
    <row r="69" spans="1:9" s="42" customFormat="1">
      <c r="A69" s="15"/>
      <c r="B69" s="15"/>
      <c r="C69" s="15"/>
      <c r="D69" s="15"/>
      <c r="E69" s="15"/>
      <c r="F69" s="15"/>
      <c r="G69" s="15"/>
      <c r="H69" s="15"/>
      <c r="I69" s="15"/>
    </row>
    <row r="70" spans="1:9" s="42" customFormat="1">
      <c r="A70" s="15"/>
      <c r="B70" s="15"/>
      <c r="C70" s="15"/>
      <c r="D70" s="15"/>
      <c r="E70" s="15"/>
      <c r="F70" s="15"/>
      <c r="G70" s="15"/>
      <c r="H70" s="15"/>
      <c r="I70" s="15"/>
    </row>
    <row r="71" spans="1:9" s="42" customFormat="1">
      <c r="A71" s="15"/>
      <c r="B71" s="15"/>
      <c r="C71" s="15"/>
      <c r="D71" s="15"/>
      <c r="E71" s="15"/>
      <c r="F71" s="15"/>
      <c r="G71" s="15"/>
      <c r="H71" s="15"/>
      <c r="I71" s="15"/>
    </row>
    <row r="72" spans="1:9" s="42" customFormat="1">
      <c r="A72" s="15"/>
      <c r="B72" s="15"/>
      <c r="C72" s="15"/>
      <c r="D72" s="15"/>
      <c r="E72" s="15"/>
      <c r="F72" s="15"/>
      <c r="G72" s="15"/>
      <c r="H72" s="15"/>
      <c r="I72" s="15"/>
    </row>
    <row r="73" spans="1:9" s="42" customFormat="1">
      <c r="A73" s="15"/>
      <c r="B73" s="15"/>
      <c r="C73" s="15"/>
      <c r="D73" s="15"/>
      <c r="E73" s="15"/>
      <c r="F73" s="15"/>
      <c r="G73" s="15"/>
      <c r="H73" s="15"/>
      <c r="I73" s="15"/>
    </row>
    <row r="74" spans="1:9" s="42" customFormat="1">
      <c r="A74" s="15"/>
      <c r="B74" s="15"/>
      <c r="C74" s="15"/>
      <c r="D74" s="15"/>
      <c r="E74" s="15"/>
      <c r="F74" s="15"/>
      <c r="G74" s="15"/>
      <c r="H74" s="15"/>
      <c r="I74" s="15"/>
    </row>
    <row r="75" spans="1:9" s="42" customFormat="1">
      <c r="A75" s="15"/>
      <c r="B75" s="15"/>
      <c r="C75" s="15"/>
      <c r="D75" s="15"/>
      <c r="E75" s="15"/>
      <c r="F75" s="15"/>
      <c r="G75" s="15"/>
      <c r="H75" s="15"/>
      <c r="I75" s="15"/>
    </row>
    <row r="76" spans="1:9" s="42" customFormat="1">
      <c r="A76" s="15"/>
      <c r="B76" s="15"/>
      <c r="C76" s="15"/>
      <c r="D76" s="15"/>
      <c r="E76" s="15"/>
      <c r="F76" s="15"/>
      <c r="G76" s="15"/>
      <c r="H76" s="15"/>
      <c r="I76" s="15"/>
    </row>
    <row r="77" spans="1:9" s="42" customFormat="1">
      <c r="A77" s="15"/>
      <c r="B77" s="15"/>
      <c r="C77" s="15"/>
      <c r="D77" s="15"/>
      <c r="E77" s="15"/>
      <c r="F77" s="15"/>
      <c r="G77" s="15"/>
      <c r="H77" s="15"/>
      <c r="I77" s="15"/>
    </row>
    <row r="78" spans="1:9" s="42" customFormat="1">
      <c r="A78" s="15"/>
      <c r="B78" s="15"/>
      <c r="C78" s="15"/>
      <c r="D78" s="15"/>
      <c r="E78" s="15"/>
      <c r="F78" s="15"/>
      <c r="G78" s="15"/>
      <c r="H78" s="15"/>
      <c r="I78" s="15"/>
    </row>
    <row r="79" spans="1:9" hidden="1"/>
    <row r="80" spans="1:9" hidden="1"/>
    <row r="81" spans="1:9" hidden="1"/>
    <row r="82" spans="1:9" hidden="1"/>
    <row r="83" spans="1:9" hidden="1"/>
    <row r="84" spans="1:9" s="42" customFormat="1" hidden="1">
      <c r="A84" s="15"/>
      <c r="B84" s="15"/>
      <c r="C84" s="15"/>
      <c r="D84" s="15"/>
      <c r="E84" s="15"/>
      <c r="F84" s="15"/>
      <c r="G84" s="15"/>
      <c r="H84" s="15"/>
      <c r="I84" s="15"/>
    </row>
    <row r="85" spans="1:9" s="42" customFormat="1" hidden="1">
      <c r="A85" s="15"/>
      <c r="B85" s="15"/>
      <c r="C85" s="15"/>
      <c r="D85" s="15"/>
      <c r="E85" s="15"/>
      <c r="F85" s="15"/>
      <c r="G85" s="15"/>
      <c r="H85" s="15"/>
      <c r="I85" s="15"/>
    </row>
  </sheetData>
  <mergeCells count="5">
    <mergeCell ref="J2:Q2"/>
    <mergeCell ref="A54:I54"/>
    <mergeCell ref="A55:I55"/>
    <mergeCell ref="A56:I56"/>
    <mergeCell ref="A1:I1"/>
  </mergeCells>
  <pageMargins left="0.7" right="0.7" top="0.75" bottom="0.75" header="0.3" footer="0.3"/>
  <pageSetup scale="63" orientation="portrait" r:id="rId1"/>
  <colBreaks count="1" manualBreakCount="1">
    <brk id="9" max="1048575" man="1"/>
  </colBreaks>
  <ignoredErrors>
    <ignoredError sqref="A47:A49" twoDigitTextYear="1"/>
  </ignoredErrors>
</worksheet>
</file>

<file path=xl/worksheets/sheet2.xml><?xml version="1.0" encoding="utf-8"?>
<worksheet xmlns="http://schemas.openxmlformats.org/spreadsheetml/2006/main" xmlns:r="http://schemas.openxmlformats.org/officeDocument/2006/relationships">
  <dimension ref="A1:AR131"/>
  <sheetViews>
    <sheetView view="pageBreakPreview" zoomScale="90" zoomScaleSheetLayoutView="90" workbookViewId="0">
      <pane ySplit="3" topLeftCell="A7" activePane="bottomLeft" state="frozen"/>
      <selection activeCell="G43" sqref="G43"/>
      <selection pane="bottomLeft" activeCell="R17" sqref="R17"/>
    </sheetView>
  </sheetViews>
  <sheetFormatPr defaultRowHeight="15" outlineLevelRow="1"/>
  <cols>
    <col min="1" max="1" width="9.140625" style="42"/>
    <col min="2" max="8" width="11.5703125" style="42" customWidth="1"/>
    <col min="9" max="9" width="18" style="42" customWidth="1"/>
    <col min="10" max="11" width="9.140625" style="42"/>
    <col min="12" max="12" width="12.140625" style="42" customWidth="1"/>
    <col min="13" max="13" width="12" style="42" customWidth="1"/>
    <col min="14" max="15" width="12.140625" style="42" customWidth="1"/>
    <col min="16" max="16" width="11.42578125" style="42" customWidth="1"/>
    <col min="17" max="18" width="12.5703125" style="42" customWidth="1"/>
    <col min="19" max="20" width="22.140625" style="42" customWidth="1"/>
    <col min="21" max="16384" width="9.140625" style="42"/>
  </cols>
  <sheetData>
    <row r="1" spans="1:22">
      <c r="A1" s="5" t="s">
        <v>195</v>
      </c>
      <c r="K1" s="5" t="s">
        <v>198</v>
      </c>
    </row>
    <row r="2" spans="1:22">
      <c r="K2" s="1" t="s">
        <v>51</v>
      </c>
    </row>
    <row r="3" spans="1:22" ht="120" customHeight="1">
      <c r="A3" s="47" t="s">
        <v>39</v>
      </c>
      <c r="B3" s="47" t="s">
        <v>144</v>
      </c>
      <c r="C3" s="47" t="s">
        <v>145</v>
      </c>
      <c r="D3" s="47" t="s">
        <v>187</v>
      </c>
      <c r="E3" s="47" t="s">
        <v>188</v>
      </c>
      <c r="F3" s="47" t="s">
        <v>146</v>
      </c>
      <c r="G3" s="47" t="s">
        <v>189</v>
      </c>
      <c r="H3" s="47" t="s">
        <v>190</v>
      </c>
      <c r="I3" s="47" t="s">
        <v>191</v>
      </c>
      <c r="K3" s="47" t="s">
        <v>39</v>
      </c>
      <c r="L3" s="47" t="s">
        <v>147</v>
      </c>
      <c r="M3" s="47" t="s">
        <v>148</v>
      </c>
      <c r="N3" s="47" t="s">
        <v>196</v>
      </c>
      <c r="O3" s="47" t="s">
        <v>197</v>
      </c>
      <c r="P3" s="47" t="s">
        <v>42</v>
      </c>
      <c r="Q3" s="47" t="s">
        <v>189</v>
      </c>
      <c r="R3" s="47" t="s">
        <v>190</v>
      </c>
      <c r="S3" s="47" t="s">
        <v>191</v>
      </c>
      <c r="T3" s="47"/>
    </row>
    <row r="4" spans="1:22">
      <c r="A4" s="9"/>
      <c r="B4" s="13" t="s">
        <v>29</v>
      </c>
      <c r="C4" s="13" t="s">
        <v>30</v>
      </c>
      <c r="D4" s="13" t="s">
        <v>31</v>
      </c>
      <c r="E4" s="13" t="s">
        <v>32</v>
      </c>
      <c r="F4" s="13" t="s">
        <v>33</v>
      </c>
      <c r="G4" s="13" t="s">
        <v>34</v>
      </c>
      <c r="H4" s="13" t="s">
        <v>35</v>
      </c>
      <c r="I4" s="13" t="s">
        <v>36</v>
      </c>
      <c r="K4" s="9"/>
      <c r="L4" s="13" t="s">
        <v>29</v>
      </c>
      <c r="M4" s="13" t="s">
        <v>30</v>
      </c>
      <c r="N4" s="13" t="s">
        <v>31</v>
      </c>
      <c r="O4" s="13" t="s">
        <v>32</v>
      </c>
      <c r="P4" s="13" t="s">
        <v>33</v>
      </c>
      <c r="Q4" s="13" t="s">
        <v>34</v>
      </c>
      <c r="R4" s="13" t="s">
        <v>35</v>
      </c>
      <c r="S4" s="13" t="s">
        <v>36</v>
      </c>
      <c r="T4" s="13"/>
    </row>
    <row r="5" spans="1:22">
      <c r="A5" s="9"/>
      <c r="B5" s="9"/>
      <c r="C5" s="9"/>
      <c r="D5" s="13"/>
      <c r="E5" s="13"/>
      <c r="F5" s="13" t="s">
        <v>37</v>
      </c>
      <c r="G5" s="13" t="s">
        <v>45</v>
      </c>
      <c r="H5" s="13" t="s">
        <v>46</v>
      </c>
      <c r="I5" s="105" t="s">
        <v>38</v>
      </c>
      <c r="K5" s="9"/>
      <c r="L5" s="9"/>
      <c r="M5" s="9"/>
      <c r="N5" s="13"/>
      <c r="O5" s="13"/>
      <c r="P5" s="13" t="s">
        <v>37</v>
      </c>
      <c r="Q5" s="13" t="s">
        <v>45</v>
      </c>
      <c r="R5" s="13" t="s">
        <v>46</v>
      </c>
      <c r="S5" s="105" t="s">
        <v>38</v>
      </c>
      <c r="T5" s="105"/>
    </row>
    <row r="6" spans="1:22">
      <c r="A6" s="13">
        <v>1969</v>
      </c>
      <c r="B6" s="51">
        <v>59.546999999999997</v>
      </c>
      <c r="C6" s="51">
        <v>173.6</v>
      </c>
      <c r="D6" s="51">
        <v>287.60000000000002</v>
      </c>
      <c r="E6" s="51">
        <v>610.9</v>
      </c>
      <c r="F6" s="51">
        <f>B6+C6</f>
        <v>233.14699999999999</v>
      </c>
      <c r="G6" s="51">
        <f>100*B6/D6</f>
        <v>20.704798331015297</v>
      </c>
      <c r="H6" s="51">
        <f>100*C6/E6</f>
        <v>28.417089540022918</v>
      </c>
      <c r="I6" s="51">
        <f>((B6/F6)*G6)+((C6/F6)*H6)</f>
        <v>26.447328811286212</v>
      </c>
      <c r="K6" s="81">
        <v>1981</v>
      </c>
      <c r="L6" s="51">
        <v>13.653</v>
      </c>
      <c r="M6" s="51">
        <v>77.933999999999997</v>
      </c>
      <c r="N6" s="51">
        <v>25.629249999999999</v>
      </c>
      <c r="O6" s="51">
        <v>148.38550000000001</v>
      </c>
      <c r="P6" s="51">
        <f>L6+M6</f>
        <v>91.587000000000003</v>
      </c>
      <c r="Q6" s="51">
        <f>100*L6/N6</f>
        <v>53.271164782426332</v>
      </c>
      <c r="R6" s="51">
        <f>100*M6/O6</f>
        <v>52.521304305339804</v>
      </c>
      <c r="S6" s="51">
        <f>((L6/P6)*Q6)+((M6/P6)*R6)</f>
        <v>52.6330870375361</v>
      </c>
    </row>
    <row r="7" spans="1:22">
      <c r="A7" s="13">
        <v>1970</v>
      </c>
      <c r="B7" s="51">
        <v>59.795999999999999</v>
      </c>
      <c r="C7" s="51">
        <v>170</v>
      </c>
      <c r="D7" s="51">
        <v>269</v>
      </c>
      <c r="E7" s="51">
        <v>573.79999999999995</v>
      </c>
      <c r="F7" s="51">
        <f t="shared" ref="F7:F54" si="0">B7+C7</f>
        <v>229.79599999999999</v>
      </c>
      <c r="G7" s="51">
        <f t="shared" ref="G7:G54" si="1">100*B7/D7</f>
        <v>22.228996282527881</v>
      </c>
      <c r="H7" s="51">
        <f t="shared" ref="H7:H54" si="2">100*C7/E7</f>
        <v>29.62704775182991</v>
      </c>
      <c r="I7" s="51">
        <f t="shared" ref="I7:I54" si="3">((B7/F7)*G7)+((C7/F7)*H7)</f>
        <v>27.701975576255123</v>
      </c>
      <c r="K7" s="81">
        <v>1982</v>
      </c>
      <c r="L7" s="51">
        <v>15.154</v>
      </c>
      <c r="M7" s="51">
        <v>71.849000000000004</v>
      </c>
      <c r="N7" s="51">
        <v>26.388249999999999</v>
      </c>
      <c r="O7" s="51">
        <v>128.56100000000001</v>
      </c>
      <c r="P7" s="51">
        <f t="shared" ref="P7:P38" si="4">L7+M7</f>
        <v>87.003</v>
      </c>
      <c r="Q7" s="51">
        <f t="shared" ref="Q7:Q38" si="5">100*L7/N7</f>
        <v>57.42707455022596</v>
      </c>
      <c r="R7" s="51">
        <f t="shared" ref="R7:R38" si="6">100*M7/O7</f>
        <v>55.887088619410243</v>
      </c>
      <c r="S7" s="51">
        <f t="shared" ref="S7:S38" si="7">((L7/P7)*Q7)+((M7/P7)*R7)</f>
        <v>56.155320137812843</v>
      </c>
      <c r="T7" s="137"/>
      <c r="V7" s="137"/>
    </row>
    <row r="8" spans="1:22">
      <c r="A8" s="13">
        <v>1971</v>
      </c>
      <c r="B8" s="51">
        <v>58.509</v>
      </c>
      <c r="C8" s="51">
        <v>196.8</v>
      </c>
      <c r="D8" s="51">
        <v>246.8</v>
      </c>
      <c r="E8" s="51">
        <v>632.9</v>
      </c>
      <c r="F8" s="51">
        <f t="shared" si="0"/>
        <v>255.30900000000003</v>
      </c>
      <c r="G8" s="51">
        <f t="shared" si="1"/>
        <v>23.70705024311183</v>
      </c>
      <c r="H8" s="51">
        <f t="shared" si="2"/>
        <v>31.094959709274768</v>
      </c>
      <c r="I8" s="51">
        <f t="shared" si="3"/>
        <v>29.401877229002913</v>
      </c>
      <c r="K8" s="81">
        <v>1983</v>
      </c>
      <c r="L8" s="51">
        <v>15.625</v>
      </c>
      <c r="M8" s="51">
        <v>72.317999999999998</v>
      </c>
      <c r="N8" s="51">
        <v>26.652249999999999</v>
      </c>
      <c r="O8" s="51">
        <v>127.25575000000001</v>
      </c>
      <c r="P8" s="51">
        <f t="shared" si="4"/>
        <v>87.942999999999998</v>
      </c>
      <c r="Q8" s="51">
        <f t="shared" si="5"/>
        <v>58.625444380868409</v>
      </c>
      <c r="R8" s="51">
        <f t="shared" si="6"/>
        <v>56.828866279126878</v>
      </c>
      <c r="S8" s="51">
        <f t="shared" si="7"/>
        <v>57.148067725969852</v>
      </c>
      <c r="T8" s="137"/>
      <c r="V8" s="137"/>
    </row>
    <row r="9" spans="1:22">
      <c r="A9" s="13">
        <v>1972</v>
      </c>
      <c r="B9" s="51">
        <v>60.691000000000003</v>
      </c>
      <c r="C9" s="51">
        <v>228.1</v>
      </c>
      <c r="D9" s="51">
        <v>237.8</v>
      </c>
      <c r="E9" s="51">
        <v>704.2</v>
      </c>
      <c r="F9" s="51">
        <f>B9+C9</f>
        <v>288.791</v>
      </c>
      <c r="G9" s="51">
        <f t="shared" si="1"/>
        <v>25.521867115222875</v>
      </c>
      <c r="H9" s="51">
        <f t="shared" si="2"/>
        <v>32.391366089179208</v>
      </c>
      <c r="I9" s="51">
        <f t="shared" si="3"/>
        <v>30.947703501950439</v>
      </c>
      <c r="K9" s="81">
        <v>1984</v>
      </c>
      <c r="L9" s="51">
        <v>17.071000000000002</v>
      </c>
      <c r="M9" s="51">
        <v>75.397999999999996</v>
      </c>
      <c r="N9" s="51">
        <v>27.952500000000001</v>
      </c>
      <c r="O9" s="51">
        <v>129.2415</v>
      </c>
      <c r="P9" s="51">
        <f t="shared" si="4"/>
        <v>92.468999999999994</v>
      </c>
      <c r="Q9" s="51">
        <f t="shared" si="5"/>
        <v>61.071460513370901</v>
      </c>
      <c r="R9" s="51">
        <f t="shared" si="6"/>
        <v>58.338846268419964</v>
      </c>
      <c r="S9" s="51">
        <f t="shared" si="7"/>
        <v>58.843322987921177</v>
      </c>
      <c r="T9" s="137"/>
      <c r="V9" s="137"/>
    </row>
    <row r="10" spans="1:22">
      <c r="A10" s="13">
        <v>1973</v>
      </c>
      <c r="B10" s="51">
        <v>65.64</v>
      </c>
      <c r="C10" s="51">
        <v>266.89999999999998</v>
      </c>
      <c r="D10" s="51">
        <v>241.8</v>
      </c>
      <c r="E10" s="51">
        <v>781.3</v>
      </c>
      <c r="F10" s="51">
        <f t="shared" si="0"/>
        <v>332.53999999999996</v>
      </c>
      <c r="G10" s="51">
        <f t="shared" si="1"/>
        <v>27.146401985111662</v>
      </c>
      <c r="H10" s="51">
        <f t="shared" si="2"/>
        <v>34.161013695123508</v>
      </c>
      <c r="I10" s="51">
        <f t="shared" si="3"/>
        <v>32.776400978923419</v>
      </c>
      <c r="K10" s="81">
        <v>1985</v>
      </c>
      <c r="L10" s="51">
        <v>19.207999999999998</v>
      </c>
      <c r="M10" s="51">
        <v>83.647000000000006</v>
      </c>
      <c r="N10" s="51">
        <v>30.794750000000001</v>
      </c>
      <c r="O10" s="51">
        <v>139.78749999999999</v>
      </c>
      <c r="P10" s="51">
        <f t="shared" si="4"/>
        <v>102.855</v>
      </c>
      <c r="Q10" s="51">
        <f t="shared" si="5"/>
        <v>62.374268341194515</v>
      </c>
      <c r="R10" s="51">
        <f t="shared" si="6"/>
        <v>59.838683716355192</v>
      </c>
      <c r="S10" s="51">
        <f t="shared" si="7"/>
        <v>60.312199923383666</v>
      </c>
      <c r="T10" s="137"/>
      <c r="V10" s="137"/>
    </row>
    <row r="11" spans="1:22">
      <c r="A11" s="13">
        <v>1974</v>
      </c>
      <c r="B11" s="51">
        <v>76.165999999999997</v>
      </c>
      <c r="C11" s="51">
        <v>274.5</v>
      </c>
      <c r="D11" s="51">
        <v>247.4</v>
      </c>
      <c r="E11" s="51">
        <v>729.5</v>
      </c>
      <c r="F11" s="51">
        <f t="shared" si="0"/>
        <v>350.666</v>
      </c>
      <c r="G11" s="51">
        <f t="shared" si="1"/>
        <v>30.786580436540014</v>
      </c>
      <c r="H11" s="51">
        <f t="shared" si="2"/>
        <v>37.628512679917755</v>
      </c>
      <c r="I11" s="51">
        <f t="shared" si="3"/>
        <v>36.142418757926144</v>
      </c>
      <c r="K11" s="81">
        <v>1986</v>
      </c>
      <c r="L11" s="51">
        <v>19.106999999999999</v>
      </c>
      <c r="M11" s="51">
        <v>90.974999999999994</v>
      </c>
      <c r="N11" s="51">
        <v>30.320250000000001</v>
      </c>
      <c r="O11" s="51">
        <v>147.12799999999999</v>
      </c>
      <c r="P11" s="51">
        <f t="shared" si="4"/>
        <v>110.08199999999999</v>
      </c>
      <c r="Q11" s="51">
        <f t="shared" si="5"/>
        <v>63.017290424716144</v>
      </c>
      <c r="R11" s="51">
        <f t="shared" si="6"/>
        <v>61.833913327170904</v>
      </c>
      <c r="S11" s="51">
        <f t="shared" si="7"/>
        <v>62.039312813034144</v>
      </c>
      <c r="T11" s="137"/>
      <c r="V11" s="137"/>
    </row>
    <row r="12" spans="1:22">
      <c r="A12" s="13">
        <v>1975</v>
      </c>
      <c r="B12" s="51">
        <v>84.403000000000006</v>
      </c>
      <c r="C12" s="51">
        <v>257.3</v>
      </c>
      <c r="D12" s="51">
        <v>250.8</v>
      </c>
      <c r="E12" s="51">
        <v>611.4</v>
      </c>
      <c r="F12" s="51">
        <f t="shared" si="0"/>
        <v>341.70300000000003</v>
      </c>
      <c r="G12" s="51">
        <f t="shared" si="1"/>
        <v>33.653508771929829</v>
      </c>
      <c r="H12" s="51">
        <f t="shared" si="2"/>
        <v>42.083742230945376</v>
      </c>
      <c r="I12" s="51">
        <f t="shared" si="3"/>
        <v>40.001416367135903</v>
      </c>
      <c r="K12" s="81">
        <v>1987</v>
      </c>
      <c r="L12" s="51">
        <v>19.634</v>
      </c>
      <c r="M12" s="51">
        <v>105.18300000000001</v>
      </c>
      <c r="N12" s="51">
        <v>30.73875</v>
      </c>
      <c r="O12" s="51">
        <v>162.9665</v>
      </c>
      <c r="P12" s="51">
        <f t="shared" si="4"/>
        <v>124.81700000000001</v>
      </c>
      <c r="Q12" s="51">
        <f t="shared" si="5"/>
        <v>63.873774958318087</v>
      </c>
      <c r="R12" s="51">
        <f t="shared" si="6"/>
        <v>64.542712766120658</v>
      </c>
      <c r="S12" s="51">
        <f t="shared" si="7"/>
        <v>64.437487316715561</v>
      </c>
      <c r="T12" s="137"/>
      <c r="V12" s="137"/>
    </row>
    <row r="13" spans="1:22">
      <c r="A13" s="13">
        <v>1976</v>
      </c>
      <c r="B13" s="51">
        <v>89.644999999999996</v>
      </c>
      <c r="C13" s="51">
        <v>323.2</v>
      </c>
      <c r="D13" s="51">
        <v>256.7</v>
      </c>
      <c r="E13" s="51">
        <v>728</v>
      </c>
      <c r="F13" s="51">
        <f t="shared" si="0"/>
        <v>412.84499999999997</v>
      </c>
      <c r="G13" s="51">
        <f t="shared" si="1"/>
        <v>34.922088040514218</v>
      </c>
      <c r="H13" s="51">
        <f t="shared" si="2"/>
        <v>44.395604395604394</v>
      </c>
      <c r="I13" s="51">
        <f t="shared" si="3"/>
        <v>42.338528801490234</v>
      </c>
      <c r="K13" s="81">
        <v>1988</v>
      </c>
      <c r="L13" s="51">
        <v>21.451000000000001</v>
      </c>
      <c r="M13" s="51">
        <v>119.628</v>
      </c>
      <c r="N13" s="51">
        <v>32.588749999999997</v>
      </c>
      <c r="O13" s="51">
        <v>178.89924999999999</v>
      </c>
      <c r="P13" s="51">
        <f t="shared" si="4"/>
        <v>141.07900000000001</v>
      </c>
      <c r="Q13" s="51">
        <f t="shared" si="5"/>
        <v>65.82332860266196</v>
      </c>
      <c r="R13" s="51">
        <f t="shared" si="6"/>
        <v>66.868922032931948</v>
      </c>
      <c r="S13" s="51">
        <f t="shared" si="7"/>
        <v>66.709940010995851</v>
      </c>
      <c r="T13" s="137"/>
      <c r="V13" s="137"/>
    </row>
    <row r="14" spans="1:22">
      <c r="A14" s="13">
        <v>1977</v>
      </c>
      <c r="B14" s="51">
        <v>93.162000000000006</v>
      </c>
      <c r="C14" s="51">
        <v>396.6</v>
      </c>
      <c r="D14" s="51">
        <v>254.6</v>
      </c>
      <c r="E14" s="51">
        <v>831.9</v>
      </c>
      <c r="F14" s="51">
        <f t="shared" si="0"/>
        <v>489.76200000000006</v>
      </c>
      <c r="G14" s="51">
        <f t="shared" si="1"/>
        <v>36.591516103692072</v>
      </c>
      <c r="H14" s="51">
        <f t="shared" si="2"/>
        <v>47.673999278759467</v>
      </c>
      <c r="I14" s="51">
        <f t="shared" si="3"/>
        <v>45.565901268796196</v>
      </c>
      <c r="K14" s="81">
        <v>1989</v>
      </c>
      <c r="L14" s="51">
        <v>23.527000000000001</v>
      </c>
      <c r="M14" s="51">
        <v>129.85300000000001</v>
      </c>
      <c r="N14" s="51">
        <v>34.798250000000003</v>
      </c>
      <c r="O14" s="51">
        <v>187.64449999999999</v>
      </c>
      <c r="P14" s="51">
        <f t="shared" si="4"/>
        <v>153.38</v>
      </c>
      <c r="Q14" s="51">
        <f t="shared" si="5"/>
        <v>67.60972175324909</v>
      </c>
      <c r="R14" s="51">
        <f t="shared" si="6"/>
        <v>69.201601965418661</v>
      </c>
      <c r="S14" s="51">
        <f t="shared" si="7"/>
        <v>68.957423025845614</v>
      </c>
      <c r="T14" s="137"/>
      <c r="V14" s="137"/>
    </row>
    <row r="15" spans="1:22">
      <c r="A15" s="13">
        <v>1978</v>
      </c>
      <c r="B15" s="51">
        <v>105.56699999999999</v>
      </c>
      <c r="C15" s="51">
        <v>478.4</v>
      </c>
      <c r="D15" s="51">
        <v>272.10000000000002</v>
      </c>
      <c r="E15" s="51">
        <v>928.1</v>
      </c>
      <c r="F15" s="51">
        <f t="shared" si="0"/>
        <v>583.96699999999998</v>
      </c>
      <c r="G15" s="51">
        <f t="shared" si="1"/>
        <v>38.797133406835712</v>
      </c>
      <c r="H15" s="51">
        <f t="shared" si="2"/>
        <v>51.546169593793771</v>
      </c>
      <c r="I15" s="51">
        <f t="shared" si="3"/>
        <v>49.241454595945264</v>
      </c>
      <c r="K15" s="81">
        <v>1990</v>
      </c>
      <c r="L15" s="51">
        <v>25.664999999999999</v>
      </c>
      <c r="M15" s="51">
        <v>124.426</v>
      </c>
      <c r="N15" s="51">
        <v>36.960999999999999</v>
      </c>
      <c r="O15" s="51">
        <v>177.74350000000001</v>
      </c>
      <c r="P15" s="51">
        <f t="shared" si="4"/>
        <v>150.09100000000001</v>
      </c>
      <c r="Q15" s="51">
        <f t="shared" si="5"/>
        <v>69.438056329644766</v>
      </c>
      <c r="R15" s="51">
        <f t="shared" si="6"/>
        <v>70.003122477052599</v>
      </c>
      <c r="S15" s="51">
        <f t="shared" si="7"/>
        <v>69.906498277911936</v>
      </c>
      <c r="T15" s="137"/>
      <c r="V15" s="137"/>
    </row>
    <row r="16" spans="1:22">
      <c r="A16" s="13">
        <v>1979</v>
      </c>
      <c r="B16" s="51">
        <v>120.09699999999999</v>
      </c>
      <c r="C16" s="51">
        <v>539.70000000000005</v>
      </c>
      <c r="D16" s="51">
        <v>286.89999999999998</v>
      </c>
      <c r="E16" s="51">
        <v>960.7</v>
      </c>
      <c r="F16" s="51">
        <f t="shared" si="0"/>
        <v>659.79700000000003</v>
      </c>
      <c r="G16" s="51">
        <f t="shared" si="1"/>
        <v>41.860230045311958</v>
      </c>
      <c r="H16" s="51">
        <f t="shared" si="2"/>
        <v>56.177787030290418</v>
      </c>
      <c r="I16" s="51">
        <f t="shared" si="3"/>
        <v>53.571689031625745</v>
      </c>
      <c r="K16" s="81">
        <v>1991</v>
      </c>
      <c r="L16" s="51">
        <v>25.904</v>
      </c>
      <c r="M16" s="51">
        <v>115.42700000000001</v>
      </c>
      <c r="N16" s="51">
        <v>38.594250000000002</v>
      </c>
      <c r="O16" s="51">
        <v>166.94725</v>
      </c>
      <c r="P16" s="51">
        <f t="shared" si="4"/>
        <v>141.33100000000002</v>
      </c>
      <c r="Q16" s="51">
        <f t="shared" si="5"/>
        <v>67.118806557971723</v>
      </c>
      <c r="R16" s="51">
        <f t="shared" si="6"/>
        <v>69.139803141411434</v>
      </c>
      <c r="S16" s="51">
        <f t="shared" si="7"/>
        <v>68.769382671044539</v>
      </c>
      <c r="T16" s="137"/>
      <c r="V16" s="137"/>
    </row>
    <row r="17" spans="1:22">
      <c r="A17" s="13">
        <v>1980</v>
      </c>
      <c r="B17" s="51">
        <v>135.94800000000001</v>
      </c>
      <c r="C17" s="51">
        <v>530.1</v>
      </c>
      <c r="D17" s="51">
        <v>295.10000000000002</v>
      </c>
      <c r="E17" s="51">
        <v>864</v>
      </c>
      <c r="F17" s="51">
        <f t="shared" si="0"/>
        <v>666.048</v>
      </c>
      <c r="G17" s="51">
        <f t="shared" si="1"/>
        <v>46.068451372416128</v>
      </c>
      <c r="H17" s="51">
        <f t="shared" si="2"/>
        <v>61.354166666666664</v>
      </c>
      <c r="I17" s="51">
        <f t="shared" si="3"/>
        <v>58.234177682655343</v>
      </c>
      <c r="K17" s="81">
        <v>1992</v>
      </c>
      <c r="L17" s="51">
        <v>25.896000000000001</v>
      </c>
      <c r="M17" s="51">
        <v>112.473</v>
      </c>
      <c r="N17" s="51">
        <v>38.016249999999999</v>
      </c>
      <c r="O17" s="51">
        <v>161.41125</v>
      </c>
      <c r="P17" s="51">
        <f t="shared" si="4"/>
        <v>138.369</v>
      </c>
      <c r="Q17" s="51">
        <f t="shared" si="5"/>
        <v>68.118238910992005</v>
      </c>
      <c r="R17" s="51">
        <f t="shared" si="6"/>
        <v>69.681016657760836</v>
      </c>
      <c r="S17" s="51">
        <f t="shared" si="7"/>
        <v>69.388540073191137</v>
      </c>
      <c r="T17" s="137"/>
      <c r="V17" s="137"/>
    </row>
    <row r="18" spans="1:22">
      <c r="A18" s="13">
        <v>1981</v>
      </c>
      <c r="B18" s="51">
        <v>147.34</v>
      </c>
      <c r="C18" s="51">
        <v>631.20000000000005</v>
      </c>
      <c r="D18" s="51">
        <v>291.7</v>
      </c>
      <c r="E18" s="51">
        <v>940.1</v>
      </c>
      <c r="F18" s="51">
        <f t="shared" si="0"/>
        <v>778.54000000000008</v>
      </c>
      <c r="G18" s="51">
        <f t="shared" si="1"/>
        <v>50.510798765855334</v>
      </c>
      <c r="H18" s="51">
        <f t="shared" si="2"/>
        <v>67.14179342623126</v>
      </c>
      <c r="I18" s="51">
        <f t="shared" si="3"/>
        <v>63.994349809641498</v>
      </c>
      <c r="K18" s="81">
        <v>1993</v>
      </c>
      <c r="L18" s="51">
        <v>25.812000000000001</v>
      </c>
      <c r="M18" s="51">
        <v>112.59399999999999</v>
      </c>
      <c r="N18" s="51">
        <v>38.33775</v>
      </c>
      <c r="O18" s="51">
        <v>158.67075</v>
      </c>
      <c r="P18" s="51">
        <f t="shared" si="4"/>
        <v>138.40600000000001</v>
      </c>
      <c r="Q18" s="51">
        <f t="shared" si="5"/>
        <v>67.327894829508779</v>
      </c>
      <c r="R18" s="51">
        <f t="shared" si="6"/>
        <v>70.960778845502404</v>
      </c>
      <c r="S18" s="51">
        <f t="shared" si="7"/>
        <v>70.283264848848887</v>
      </c>
      <c r="T18" s="137"/>
      <c r="V18" s="137"/>
    </row>
    <row r="19" spans="1:22">
      <c r="A19" s="13">
        <v>1982</v>
      </c>
      <c r="B19" s="51">
        <v>156.94399999999999</v>
      </c>
      <c r="C19" s="51">
        <v>581</v>
      </c>
      <c r="D19" s="51">
        <v>291.60000000000002</v>
      </c>
      <c r="E19" s="51">
        <v>822</v>
      </c>
      <c r="F19" s="51">
        <f t="shared" si="0"/>
        <v>737.94399999999996</v>
      </c>
      <c r="G19" s="51">
        <f t="shared" si="1"/>
        <v>53.821673525377221</v>
      </c>
      <c r="H19" s="51">
        <f t="shared" si="2"/>
        <v>70.681265206812654</v>
      </c>
      <c r="I19" s="51">
        <f t="shared" si="3"/>
        <v>67.09561134032522</v>
      </c>
      <c r="K19" s="81">
        <v>1994</v>
      </c>
      <c r="L19" s="51">
        <v>27.445</v>
      </c>
      <c r="M19" s="51">
        <v>125.13800000000001</v>
      </c>
      <c r="N19" s="51">
        <v>39.619750000000003</v>
      </c>
      <c r="O19" s="51">
        <v>170.566</v>
      </c>
      <c r="P19" s="51">
        <f t="shared" si="4"/>
        <v>152.583</v>
      </c>
      <c r="Q19" s="51">
        <f t="shared" si="5"/>
        <v>69.271007515191286</v>
      </c>
      <c r="R19" s="51">
        <f t="shared" si="6"/>
        <v>73.366321541221581</v>
      </c>
      <c r="S19" s="51">
        <f t="shared" si="7"/>
        <v>72.629700204346562</v>
      </c>
      <c r="T19" s="137"/>
      <c r="V19" s="137"/>
    </row>
    <row r="20" spans="1:22">
      <c r="A20" s="13">
        <v>1983</v>
      </c>
      <c r="B20" s="51">
        <v>171.16399999999999</v>
      </c>
      <c r="C20" s="51">
        <v>637.5</v>
      </c>
      <c r="D20" s="51">
        <v>309.8</v>
      </c>
      <c r="E20" s="51">
        <v>898.7</v>
      </c>
      <c r="F20" s="51">
        <f t="shared" si="0"/>
        <v>808.66399999999999</v>
      </c>
      <c r="G20" s="51">
        <f t="shared" si="1"/>
        <v>55.249838605551957</v>
      </c>
      <c r="H20" s="51">
        <f t="shared" si="2"/>
        <v>70.935796149994431</v>
      </c>
      <c r="I20" s="51">
        <f t="shared" si="3"/>
        <v>67.615664133313885</v>
      </c>
      <c r="K20" s="81">
        <v>1995</v>
      </c>
      <c r="L20" s="51">
        <v>27.75</v>
      </c>
      <c r="M20" s="51">
        <v>123.736</v>
      </c>
      <c r="N20" s="51">
        <v>39.424500000000002</v>
      </c>
      <c r="O20" s="51">
        <v>167.79425000000001</v>
      </c>
      <c r="P20" s="51">
        <f t="shared" si="4"/>
        <v>151.48599999999999</v>
      </c>
      <c r="Q20" s="51">
        <f t="shared" si="5"/>
        <v>70.38770307803523</v>
      </c>
      <c r="R20" s="51">
        <f t="shared" si="6"/>
        <v>73.742693805061847</v>
      </c>
      <c r="S20" s="51">
        <f t="shared" si="7"/>
        <v>73.12810900729184</v>
      </c>
      <c r="T20" s="137"/>
      <c r="V20" s="137"/>
    </row>
    <row r="21" spans="1:22">
      <c r="A21" s="13">
        <v>1984</v>
      </c>
      <c r="B21" s="51">
        <v>193.18199999999999</v>
      </c>
      <c r="C21" s="51">
        <v>820.1</v>
      </c>
      <c r="D21" s="51">
        <v>342.7</v>
      </c>
      <c r="E21" s="51">
        <v>1144</v>
      </c>
      <c r="F21" s="51">
        <f t="shared" si="0"/>
        <v>1013.282</v>
      </c>
      <c r="G21" s="51">
        <f t="shared" si="1"/>
        <v>56.370586518821121</v>
      </c>
      <c r="H21" s="51">
        <f t="shared" si="2"/>
        <v>71.687062937062933</v>
      </c>
      <c r="I21" s="51">
        <f t="shared" si="3"/>
        <v>68.766979932105983</v>
      </c>
      <c r="K21" s="81">
        <v>1996</v>
      </c>
      <c r="L21" s="51">
        <v>27.033999999999999</v>
      </c>
      <c r="M21" s="51">
        <v>133.54400000000001</v>
      </c>
      <c r="N21" s="51">
        <v>38.47925</v>
      </c>
      <c r="O21" s="51">
        <v>180.55</v>
      </c>
      <c r="P21" s="51">
        <f t="shared" si="4"/>
        <v>160.578</v>
      </c>
      <c r="Q21" s="51">
        <f t="shared" si="5"/>
        <v>70.256047090314908</v>
      </c>
      <c r="R21" s="51">
        <f t="shared" si="6"/>
        <v>73.965106618665189</v>
      </c>
      <c r="S21" s="51">
        <f t="shared" si="7"/>
        <v>73.340670423860033</v>
      </c>
      <c r="T21" s="137"/>
      <c r="V21" s="137"/>
    </row>
    <row r="22" spans="1:22">
      <c r="A22" s="13">
        <v>1985</v>
      </c>
      <c r="B22" s="51">
        <v>219.876</v>
      </c>
      <c r="C22" s="51">
        <v>829.7</v>
      </c>
      <c r="D22" s="51">
        <v>386.8</v>
      </c>
      <c r="E22" s="51">
        <v>1143.2</v>
      </c>
      <c r="F22" s="51">
        <f t="shared" si="0"/>
        <v>1049.576</v>
      </c>
      <c r="G22" s="51">
        <f t="shared" si="1"/>
        <v>56.844881075491216</v>
      </c>
      <c r="H22" s="51">
        <f t="shared" si="2"/>
        <v>72.576976906927925</v>
      </c>
      <c r="I22" s="51">
        <f t="shared" si="3"/>
        <v>69.281255298361245</v>
      </c>
      <c r="K22" s="81">
        <v>1997</v>
      </c>
      <c r="L22" s="51">
        <v>26.27</v>
      </c>
      <c r="M22" s="51">
        <v>156.65799999999999</v>
      </c>
      <c r="N22" s="51">
        <v>36.246749999999999</v>
      </c>
      <c r="O22" s="51">
        <v>208.19475</v>
      </c>
      <c r="P22" s="51">
        <f t="shared" si="4"/>
        <v>182.928</v>
      </c>
      <c r="Q22" s="51">
        <f t="shared" si="5"/>
        <v>72.475463317400866</v>
      </c>
      <c r="R22" s="51">
        <f t="shared" si="6"/>
        <v>75.245893568401698</v>
      </c>
      <c r="S22" s="51">
        <f t="shared" si="7"/>
        <v>74.848036473294371</v>
      </c>
      <c r="T22" s="137"/>
      <c r="V22" s="137"/>
    </row>
    <row r="23" spans="1:22">
      <c r="A23" s="13">
        <v>1986</v>
      </c>
      <c r="B23" s="51">
        <v>238.08699999999999</v>
      </c>
      <c r="C23" s="51">
        <v>849.1</v>
      </c>
      <c r="D23" s="51">
        <v>418</v>
      </c>
      <c r="E23" s="51">
        <v>1145</v>
      </c>
      <c r="F23" s="51">
        <f t="shared" si="0"/>
        <v>1087.1869999999999</v>
      </c>
      <c r="G23" s="51">
        <f t="shared" si="1"/>
        <v>56.958612440191381</v>
      </c>
      <c r="H23" s="51">
        <f t="shared" si="2"/>
        <v>74.157205240174676</v>
      </c>
      <c r="I23" s="51">
        <f t="shared" si="3"/>
        <v>70.390823408926138</v>
      </c>
      <c r="K23" s="81">
        <v>1998</v>
      </c>
      <c r="L23" s="51">
        <v>26.765999999999998</v>
      </c>
      <c r="M23" s="51">
        <v>165.72800000000001</v>
      </c>
      <c r="N23" s="51">
        <v>36.71275</v>
      </c>
      <c r="O23" s="51">
        <v>216.15899999999999</v>
      </c>
      <c r="P23" s="51">
        <f t="shared" si="4"/>
        <v>192.494</v>
      </c>
      <c r="Q23" s="51">
        <f t="shared" si="5"/>
        <v>72.906551538634403</v>
      </c>
      <c r="R23" s="51">
        <f t="shared" si="6"/>
        <v>76.669488663437562</v>
      </c>
      <c r="S23" s="51">
        <f t="shared" si="7"/>
        <v>76.146257938934554</v>
      </c>
      <c r="T23" s="137"/>
      <c r="V23" s="137"/>
    </row>
    <row r="24" spans="1:22">
      <c r="A24" s="13">
        <v>1987</v>
      </c>
      <c r="B24" s="51">
        <v>254.637</v>
      </c>
      <c r="C24" s="51">
        <v>892.2</v>
      </c>
      <c r="D24" s="51">
        <v>442.5</v>
      </c>
      <c r="E24" s="51">
        <v>1177.5999999999999</v>
      </c>
      <c r="F24" s="51">
        <f t="shared" si="0"/>
        <v>1146.837</v>
      </c>
      <c r="G24" s="51">
        <f t="shared" si="1"/>
        <v>57.545084745762715</v>
      </c>
      <c r="H24" s="51">
        <f t="shared" si="2"/>
        <v>75.764266304347828</v>
      </c>
      <c r="I24" s="51">
        <f t="shared" si="3"/>
        <v>71.71898547147147</v>
      </c>
      <c r="K24" s="81">
        <v>1999</v>
      </c>
      <c r="L24" s="51">
        <v>30.222000000000001</v>
      </c>
      <c r="M24" s="51">
        <v>172.29400000000001</v>
      </c>
      <c r="N24" s="51">
        <v>41.045000000000002</v>
      </c>
      <c r="O24" s="51">
        <v>224.7835</v>
      </c>
      <c r="P24" s="51">
        <f t="shared" si="4"/>
        <v>202.51600000000002</v>
      </c>
      <c r="Q24" s="51">
        <f t="shared" si="5"/>
        <v>73.631380192471681</v>
      </c>
      <c r="R24" s="51">
        <f t="shared" si="6"/>
        <v>76.648864351698421</v>
      </c>
      <c r="S24" s="51">
        <f t="shared" si="7"/>
        <v>76.198557184560258</v>
      </c>
      <c r="T24" s="137"/>
      <c r="V24" s="137"/>
    </row>
    <row r="25" spans="1:22">
      <c r="A25" s="13">
        <v>1988</v>
      </c>
      <c r="B25" s="51">
        <v>258.40100000000001</v>
      </c>
      <c r="C25" s="51">
        <v>937</v>
      </c>
      <c r="D25" s="51">
        <v>437.9</v>
      </c>
      <c r="E25" s="51">
        <v>1206.5999999999999</v>
      </c>
      <c r="F25" s="51">
        <f t="shared" si="0"/>
        <v>1195.4010000000001</v>
      </c>
      <c r="G25" s="51">
        <f t="shared" si="1"/>
        <v>59.009134505594893</v>
      </c>
      <c r="H25" s="51">
        <f t="shared" si="2"/>
        <v>77.656224100779056</v>
      </c>
      <c r="I25" s="51">
        <f t="shared" si="3"/>
        <v>73.625420547423161</v>
      </c>
      <c r="K25" s="81">
        <v>2000</v>
      </c>
      <c r="L25" s="51">
        <v>32.213999999999999</v>
      </c>
      <c r="M25" s="51">
        <v>183.45699999999999</v>
      </c>
      <c r="N25" s="51">
        <v>42.521500000000003</v>
      </c>
      <c r="O25" s="51">
        <v>236.69800000000001</v>
      </c>
      <c r="P25" s="51">
        <f t="shared" si="4"/>
        <v>215.67099999999999</v>
      </c>
      <c r="Q25" s="51">
        <f t="shared" si="5"/>
        <v>75.759321754876936</v>
      </c>
      <c r="R25" s="51">
        <f t="shared" si="6"/>
        <v>77.506780792402139</v>
      </c>
      <c r="S25" s="51">
        <f t="shared" si="7"/>
        <v>77.245769133742243</v>
      </c>
      <c r="T25" s="137"/>
      <c r="V25" s="137"/>
    </row>
    <row r="26" spans="1:22">
      <c r="A26" s="13">
        <v>1989</v>
      </c>
      <c r="B26" s="51">
        <v>270.43299999999999</v>
      </c>
      <c r="C26" s="51">
        <v>999.7</v>
      </c>
      <c r="D26" s="51">
        <v>447.1</v>
      </c>
      <c r="E26" s="51">
        <v>1255.4000000000001</v>
      </c>
      <c r="F26" s="51">
        <f t="shared" si="0"/>
        <v>1270.133</v>
      </c>
      <c r="G26" s="51">
        <f t="shared" si="1"/>
        <v>60.486021024379326</v>
      </c>
      <c r="H26" s="51">
        <f t="shared" si="2"/>
        <v>79.631989804046512</v>
      </c>
      <c r="I26" s="51">
        <f t="shared" si="3"/>
        <v>75.555486181991398</v>
      </c>
      <c r="K26" s="81">
        <v>2001</v>
      </c>
      <c r="L26" s="51">
        <v>36.006</v>
      </c>
      <c r="M26" s="51">
        <v>193.352</v>
      </c>
      <c r="N26" s="51">
        <v>47.372500000000002</v>
      </c>
      <c r="O26" s="51">
        <v>245.28174999999999</v>
      </c>
      <c r="P26" s="51">
        <f t="shared" si="4"/>
        <v>229.358</v>
      </c>
      <c r="Q26" s="51">
        <f t="shared" si="5"/>
        <v>76.006121695076246</v>
      </c>
      <c r="R26" s="51">
        <f t="shared" si="6"/>
        <v>78.828530862976976</v>
      </c>
      <c r="S26" s="51">
        <f t="shared" si="7"/>
        <v>78.38545207566878</v>
      </c>
      <c r="T26" s="137"/>
      <c r="V26" s="137"/>
    </row>
    <row r="27" spans="1:22">
      <c r="A27" s="13">
        <v>1990</v>
      </c>
      <c r="B27" s="51">
        <v>290.37</v>
      </c>
      <c r="C27" s="51">
        <v>993.4</v>
      </c>
      <c r="D27" s="51">
        <v>468.1</v>
      </c>
      <c r="E27" s="51">
        <v>1223</v>
      </c>
      <c r="F27" s="51">
        <f t="shared" si="0"/>
        <v>1283.77</v>
      </c>
      <c r="G27" s="51">
        <f t="shared" si="1"/>
        <v>62.031617175817132</v>
      </c>
      <c r="H27" s="51">
        <f t="shared" si="2"/>
        <v>81.226492232215861</v>
      </c>
      <c r="I27" s="51">
        <f t="shared" si="3"/>
        <v>76.884892202517008</v>
      </c>
      <c r="K27" s="81">
        <v>2002</v>
      </c>
      <c r="L27" s="51">
        <v>38.087000000000003</v>
      </c>
      <c r="M27" s="51">
        <v>198.80099999999999</v>
      </c>
      <c r="N27" s="51">
        <v>49.131500000000003</v>
      </c>
      <c r="O27" s="51">
        <v>246.19575</v>
      </c>
      <c r="P27" s="51">
        <f t="shared" si="4"/>
        <v>236.88799999999998</v>
      </c>
      <c r="Q27" s="51">
        <f t="shared" si="5"/>
        <v>77.520531634491107</v>
      </c>
      <c r="R27" s="51">
        <f t="shared" si="6"/>
        <v>80.749159967221203</v>
      </c>
      <c r="S27" s="51">
        <f t="shared" si="7"/>
        <v>80.230059095464554</v>
      </c>
      <c r="T27" s="137"/>
      <c r="V27" s="137"/>
    </row>
    <row r="28" spans="1:22">
      <c r="A28" s="13">
        <v>1991</v>
      </c>
      <c r="B28" s="51">
        <v>294.09399999999999</v>
      </c>
      <c r="C28" s="51">
        <v>944.3</v>
      </c>
      <c r="D28" s="51">
        <v>465.3</v>
      </c>
      <c r="E28" s="51">
        <v>1142.0999999999999</v>
      </c>
      <c r="F28" s="51">
        <f t="shared" si="0"/>
        <v>1238.394</v>
      </c>
      <c r="G28" s="51">
        <f t="shared" si="1"/>
        <v>63.20524392864818</v>
      </c>
      <c r="H28" s="51">
        <f t="shared" si="2"/>
        <v>82.681026179844153</v>
      </c>
      <c r="I28" s="51">
        <f t="shared" si="3"/>
        <v>78.055914377474934</v>
      </c>
      <c r="K28" s="81">
        <v>2003</v>
      </c>
      <c r="L28" s="51">
        <v>39.869</v>
      </c>
      <c r="M28" s="51">
        <v>209.87100000000001</v>
      </c>
      <c r="N28" s="51">
        <v>50.958750000000002</v>
      </c>
      <c r="O28" s="51">
        <v>260.05874999999997</v>
      </c>
      <c r="P28" s="51">
        <f t="shared" si="4"/>
        <v>249.74</v>
      </c>
      <c r="Q28" s="51">
        <f t="shared" si="5"/>
        <v>78.237790369661738</v>
      </c>
      <c r="R28" s="51">
        <f t="shared" si="6"/>
        <v>80.701379976639913</v>
      </c>
      <c r="S28" s="51">
        <f t="shared" si="7"/>
        <v>80.308087536339542</v>
      </c>
      <c r="T28" s="137"/>
      <c r="V28" s="137"/>
    </row>
    <row r="29" spans="1:22">
      <c r="A29" s="13">
        <v>1992</v>
      </c>
      <c r="B29" s="51">
        <v>296.11700000000002</v>
      </c>
      <c r="C29" s="51">
        <v>1013</v>
      </c>
      <c r="D29" s="51">
        <v>464.5</v>
      </c>
      <c r="E29" s="51">
        <v>1225.3</v>
      </c>
      <c r="F29" s="51">
        <f t="shared" si="0"/>
        <v>1309.117</v>
      </c>
      <c r="G29" s="51">
        <f t="shared" si="1"/>
        <v>63.749623250807318</v>
      </c>
      <c r="H29" s="51">
        <f t="shared" si="2"/>
        <v>82.673630947523066</v>
      </c>
      <c r="I29" s="51">
        <f t="shared" si="3"/>
        <v>78.393096520784752</v>
      </c>
      <c r="K29" s="81">
        <v>2004</v>
      </c>
      <c r="L29" s="51">
        <v>43.378</v>
      </c>
      <c r="M29" s="51">
        <v>234.578</v>
      </c>
      <c r="N29" s="51">
        <v>54.22</v>
      </c>
      <c r="O29" s="51">
        <v>283.7405</v>
      </c>
      <c r="P29" s="51">
        <f t="shared" si="4"/>
        <v>277.95600000000002</v>
      </c>
      <c r="Q29" s="51">
        <f t="shared" si="5"/>
        <v>80.003688675765403</v>
      </c>
      <c r="R29" s="51">
        <f t="shared" si="6"/>
        <v>82.673428713912884</v>
      </c>
      <c r="S29" s="51">
        <f t="shared" si="7"/>
        <v>82.256787290900746</v>
      </c>
      <c r="T29" s="137"/>
      <c r="V29" s="137"/>
    </row>
    <row r="30" spans="1:22">
      <c r="A30" s="13">
        <v>1993</v>
      </c>
      <c r="B30" s="51">
        <v>291.88299999999998</v>
      </c>
      <c r="C30" s="51">
        <v>1106.8</v>
      </c>
      <c r="D30" s="51">
        <v>448.1</v>
      </c>
      <c r="E30" s="51">
        <v>1323.3</v>
      </c>
      <c r="F30" s="51">
        <f t="shared" si="0"/>
        <v>1398.683</v>
      </c>
      <c r="G30" s="51">
        <f t="shared" si="1"/>
        <v>65.137915643829501</v>
      </c>
      <c r="H30" s="51">
        <f t="shared" si="2"/>
        <v>83.639386382528528</v>
      </c>
      <c r="I30" s="51">
        <f t="shared" si="3"/>
        <v>79.778422330185222</v>
      </c>
      <c r="K30" s="81">
        <v>2005</v>
      </c>
      <c r="L30" s="51">
        <v>48.656999999999996</v>
      </c>
      <c r="M30" s="51">
        <v>259.69</v>
      </c>
      <c r="N30" s="51">
        <v>59.575499999999998</v>
      </c>
      <c r="O30" s="51">
        <v>307.89125000000001</v>
      </c>
      <c r="P30" s="51">
        <f t="shared" si="4"/>
        <v>308.34699999999998</v>
      </c>
      <c r="Q30" s="51">
        <f t="shared" si="5"/>
        <v>81.672835309816961</v>
      </c>
      <c r="R30" s="51">
        <f t="shared" si="6"/>
        <v>84.344715869645526</v>
      </c>
      <c r="S30" s="51">
        <f t="shared" si="7"/>
        <v>83.923094474270911</v>
      </c>
      <c r="T30" s="137"/>
      <c r="V30" s="137"/>
    </row>
    <row r="31" spans="1:22">
      <c r="A31" s="13">
        <v>1994</v>
      </c>
      <c r="B31" s="51">
        <v>294.173</v>
      </c>
      <c r="C31" s="51">
        <v>1256.5</v>
      </c>
      <c r="D31" s="51">
        <v>441.3</v>
      </c>
      <c r="E31" s="51">
        <v>1479.8</v>
      </c>
      <c r="F31" s="51">
        <f t="shared" si="0"/>
        <v>1550.673</v>
      </c>
      <c r="G31" s="51">
        <f t="shared" si="1"/>
        <v>66.660548379786988</v>
      </c>
      <c r="H31" s="51">
        <f t="shared" si="2"/>
        <v>84.910122989593191</v>
      </c>
      <c r="I31" s="51">
        <f t="shared" si="3"/>
        <v>81.448057091953572</v>
      </c>
      <c r="K31" s="81">
        <v>2006</v>
      </c>
      <c r="L31" s="51">
        <v>52.933999999999997</v>
      </c>
      <c r="M31" s="51">
        <v>287.28800000000001</v>
      </c>
      <c r="N31" s="51">
        <v>62.304499999999997</v>
      </c>
      <c r="O31" s="51">
        <v>328.20875000000001</v>
      </c>
      <c r="P31" s="51">
        <f t="shared" si="4"/>
        <v>340.22199999999998</v>
      </c>
      <c r="Q31" s="51">
        <f t="shared" si="5"/>
        <v>84.960155365984804</v>
      </c>
      <c r="R31" s="51">
        <f t="shared" si="6"/>
        <v>87.532096569637474</v>
      </c>
      <c r="S31" s="51">
        <f t="shared" si="7"/>
        <v>87.131936863110127</v>
      </c>
      <c r="T31" s="137"/>
      <c r="V31" s="137"/>
    </row>
    <row r="32" spans="1:22">
      <c r="A32" s="13">
        <v>1995</v>
      </c>
      <c r="B32" s="51">
        <v>307.68799999999999</v>
      </c>
      <c r="C32" s="51">
        <v>1317.5</v>
      </c>
      <c r="D32" s="51">
        <v>447.5</v>
      </c>
      <c r="E32" s="51">
        <v>1527.3</v>
      </c>
      <c r="F32" s="51">
        <f t="shared" si="0"/>
        <v>1625.1880000000001</v>
      </c>
      <c r="G32" s="51">
        <f t="shared" si="1"/>
        <v>68.757094972067037</v>
      </c>
      <c r="H32" s="51">
        <f t="shared" si="2"/>
        <v>86.263340535585684</v>
      </c>
      <c r="I32" s="51">
        <f t="shared" si="3"/>
        <v>82.948978329522177</v>
      </c>
      <c r="K32" s="81">
        <v>2007</v>
      </c>
      <c r="L32" s="51">
        <v>59.078000000000003</v>
      </c>
      <c r="M32" s="51">
        <v>307.471</v>
      </c>
      <c r="N32" s="51">
        <v>66.46275</v>
      </c>
      <c r="O32" s="51">
        <v>337.36275000000001</v>
      </c>
      <c r="P32" s="51">
        <f t="shared" si="4"/>
        <v>366.54899999999998</v>
      </c>
      <c r="Q32" s="51">
        <f t="shared" si="5"/>
        <v>88.888888888888886</v>
      </c>
      <c r="R32" s="51">
        <f t="shared" si="6"/>
        <v>91.139581948510909</v>
      </c>
      <c r="S32" s="51">
        <f t="shared" si="7"/>
        <v>90.776829780106823</v>
      </c>
      <c r="T32" s="137"/>
      <c r="V32" s="137"/>
    </row>
    <row r="33" spans="1:22">
      <c r="A33" s="13">
        <v>1996</v>
      </c>
      <c r="B33" s="51">
        <v>319.959</v>
      </c>
      <c r="C33" s="51">
        <v>1432.1</v>
      </c>
      <c r="D33" s="51">
        <v>459.6</v>
      </c>
      <c r="E33" s="51">
        <v>1660.8</v>
      </c>
      <c r="F33" s="51">
        <f t="shared" si="0"/>
        <v>1752.059</v>
      </c>
      <c r="G33" s="51">
        <f t="shared" si="1"/>
        <v>69.616840731070496</v>
      </c>
      <c r="H33" s="51">
        <f t="shared" si="2"/>
        <v>86.229527938342969</v>
      </c>
      <c r="I33" s="51">
        <f t="shared" si="3"/>
        <v>83.195738102411809</v>
      </c>
      <c r="K33" s="81">
        <v>2008</v>
      </c>
      <c r="L33" s="51">
        <v>65.55</v>
      </c>
      <c r="M33" s="51">
        <v>320.59399999999999</v>
      </c>
      <c r="N33" s="51">
        <v>69.635249999999999</v>
      </c>
      <c r="O33" s="51">
        <v>339.76524999999998</v>
      </c>
      <c r="P33" s="51">
        <f t="shared" si="4"/>
        <v>386.14400000000001</v>
      </c>
      <c r="Q33" s="51">
        <f t="shared" si="5"/>
        <v>94.133359182310684</v>
      </c>
      <c r="R33" s="51">
        <f t="shared" si="6"/>
        <v>94.357501245345134</v>
      </c>
      <c r="S33" s="51">
        <f t="shared" si="7"/>
        <v>94.319451936714387</v>
      </c>
      <c r="T33" s="137"/>
      <c r="V33" s="137"/>
    </row>
    <row r="34" spans="1:22">
      <c r="A34" s="13">
        <v>1997</v>
      </c>
      <c r="B34" s="51">
        <v>326.60500000000002</v>
      </c>
      <c r="C34" s="51">
        <v>1595.6</v>
      </c>
      <c r="D34" s="51">
        <v>463.8</v>
      </c>
      <c r="E34" s="51">
        <v>1850.2</v>
      </c>
      <c r="F34" s="51">
        <f t="shared" si="0"/>
        <v>1922.2049999999999</v>
      </c>
      <c r="G34" s="51">
        <f t="shared" si="1"/>
        <v>70.419361793876675</v>
      </c>
      <c r="H34" s="51">
        <f t="shared" si="2"/>
        <v>86.239325478326663</v>
      </c>
      <c r="I34" s="51">
        <f t="shared" si="3"/>
        <v>83.551329536603603</v>
      </c>
      <c r="K34" s="81">
        <v>2009</v>
      </c>
      <c r="L34" s="51">
        <v>72.076999999999998</v>
      </c>
      <c r="M34" s="51">
        <v>276.21600000000001</v>
      </c>
      <c r="N34" s="51">
        <v>76.284000000000006</v>
      </c>
      <c r="O34" s="51">
        <v>287.20274999999998</v>
      </c>
      <c r="P34" s="51">
        <f t="shared" si="4"/>
        <v>348.29300000000001</v>
      </c>
      <c r="Q34" s="51">
        <f t="shared" si="5"/>
        <v>94.485082061769162</v>
      </c>
      <c r="R34" s="51">
        <f t="shared" si="6"/>
        <v>96.174566573613944</v>
      </c>
      <c r="S34" s="51">
        <f t="shared" si="7"/>
        <v>95.824938601876823</v>
      </c>
      <c r="T34" s="137"/>
      <c r="V34" s="137"/>
    </row>
    <row r="35" spans="1:22">
      <c r="A35" s="13">
        <v>1998</v>
      </c>
      <c r="B35" s="51">
        <v>344.00099999999998</v>
      </c>
      <c r="C35" s="51">
        <v>1736.7</v>
      </c>
      <c r="D35" s="51">
        <v>484.7</v>
      </c>
      <c r="E35" s="51">
        <v>2026.3</v>
      </c>
      <c r="F35" s="51">
        <f t="shared" si="0"/>
        <v>2080.701</v>
      </c>
      <c r="G35" s="51">
        <f t="shared" si="1"/>
        <v>70.971941407055908</v>
      </c>
      <c r="H35" s="51">
        <f t="shared" si="2"/>
        <v>85.707940581355174</v>
      </c>
      <c r="I35" s="51">
        <f t="shared" si="3"/>
        <v>83.271647018773095</v>
      </c>
      <c r="K35" s="81">
        <v>2010</v>
      </c>
      <c r="L35" s="51">
        <v>80.480999999999995</v>
      </c>
      <c r="M35" s="51">
        <v>308.03300000000002</v>
      </c>
      <c r="N35" s="51">
        <v>84.945750000000004</v>
      </c>
      <c r="O35" s="51">
        <v>320.48075</v>
      </c>
      <c r="P35" s="51">
        <f t="shared" si="4"/>
        <v>388.51400000000001</v>
      </c>
      <c r="Q35" s="51">
        <f t="shared" si="5"/>
        <v>94.743998375433719</v>
      </c>
      <c r="R35" s="51">
        <f t="shared" si="6"/>
        <v>96.115913358290641</v>
      </c>
      <c r="S35" s="51">
        <f t="shared" si="7"/>
        <v>95.831720022309668</v>
      </c>
      <c r="T35" s="137"/>
      <c r="V35" s="137"/>
    </row>
    <row r="36" spans="1:22">
      <c r="A36" s="13">
        <v>1999</v>
      </c>
      <c r="B36" s="51">
        <v>368.47800000000001</v>
      </c>
      <c r="C36" s="51">
        <v>1887.1</v>
      </c>
      <c r="D36" s="51">
        <v>509.7</v>
      </c>
      <c r="E36" s="51">
        <v>2198.6999999999998</v>
      </c>
      <c r="F36" s="51">
        <f t="shared" si="0"/>
        <v>2255.578</v>
      </c>
      <c r="G36" s="51">
        <f t="shared" si="1"/>
        <v>72.293113596233084</v>
      </c>
      <c r="H36" s="51">
        <f t="shared" si="2"/>
        <v>85.827989266384691</v>
      </c>
      <c r="I36" s="51">
        <f t="shared" si="3"/>
        <v>83.616891305158731</v>
      </c>
      <c r="K36" s="81">
        <v>2011</v>
      </c>
      <c r="L36" s="51">
        <v>76.528999999999996</v>
      </c>
      <c r="M36" s="51">
        <v>338.15699999999998</v>
      </c>
      <c r="N36" s="51">
        <v>78.473500000000001</v>
      </c>
      <c r="O36" s="51">
        <v>345.79325</v>
      </c>
      <c r="P36" s="51">
        <f t="shared" si="4"/>
        <v>414.68599999999998</v>
      </c>
      <c r="Q36" s="51">
        <f t="shared" si="5"/>
        <v>97.522093445558042</v>
      </c>
      <c r="R36" s="51">
        <f t="shared" si="6"/>
        <v>97.791671757618161</v>
      </c>
      <c r="S36" s="51">
        <f t="shared" si="7"/>
        <v>97.74192192607417</v>
      </c>
      <c r="T36" s="137"/>
      <c r="V36" s="137"/>
    </row>
    <row r="37" spans="1:22">
      <c r="A37" s="13">
        <v>2000</v>
      </c>
      <c r="B37" s="51">
        <v>388.85</v>
      </c>
      <c r="C37" s="51">
        <v>2038.4</v>
      </c>
      <c r="D37" s="51">
        <v>524.4</v>
      </c>
      <c r="E37" s="51">
        <v>2346.6999999999998</v>
      </c>
      <c r="F37" s="51">
        <f t="shared" si="0"/>
        <v>2427.25</v>
      </c>
      <c r="G37" s="51">
        <f t="shared" si="1"/>
        <v>74.151411136536993</v>
      </c>
      <c r="H37" s="51">
        <f t="shared" si="2"/>
        <v>86.86240252269144</v>
      </c>
      <c r="I37" s="51">
        <f t="shared" si="3"/>
        <v>84.826077875248387</v>
      </c>
      <c r="K37" s="81">
        <v>2012</v>
      </c>
      <c r="L37" s="51">
        <v>76.141000000000005</v>
      </c>
      <c r="M37" s="51">
        <v>368.69499999999999</v>
      </c>
      <c r="N37" s="51">
        <v>76.140749999999997</v>
      </c>
      <c r="O37" s="51">
        <v>368.69499999999999</v>
      </c>
      <c r="P37" s="51">
        <f t="shared" si="4"/>
        <v>444.83600000000001</v>
      </c>
      <c r="Q37" s="51">
        <f t="shared" si="5"/>
        <v>100.00032833929269</v>
      </c>
      <c r="R37" s="51">
        <f t="shared" si="6"/>
        <v>100</v>
      </c>
      <c r="S37" s="51">
        <f t="shared" si="7"/>
        <v>100.00005620067189</v>
      </c>
    </row>
    <row r="38" spans="1:22">
      <c r="A38" s="13">
        <v>2001</v>
      </c>
      <c r="B38" s="51">
        <v>411.88299999999998</v>
      </c>
      <c r="C38" s="51">
        <v>1934.8</v>
      </c>
      <c r="D38" s="51">
        <v>548.29999999999995</v>
      </c>
      <c r="E38" s="51">
        <v>2214.6</v>
      </c>
      <c r="F38" s="51">
        <f t="shared" si="0"/>
        <v>2346.683</v>
      </c>
      <c r="G38" s="51">
        <f t="shared" si="1"/>
        <v>75.120007295276309</v>
      </c>
      <c r="H38" s="51">
        <f t="shared" si="2"/>
        <v>87.365664228303089</v>
      </c>
      <c r="I38" s="51">
        <f t="shared" si="3"/>
        <v>85.216342008580241</v>
      </c>
      <c r="K38" s="81">
        <v>2013</v>
      </c>
      <c r="L38" s="51">
        <v>73.349000000000004</v>
      </c>
      <c r="M38" s="51">
        <v>383.839</v>
      </c>
      <c r="N38" s="51">
        <v>71.876750000000001</v>
      </c>
      <c r="O38" s="51">
        <v>379.33499999999998</v>
      </c>
      <c r="P38" s="51">
        <f t="shared" si="4"/>
        <v>457.18799999999999</v>
      </c>
      <c r="Q38" s="51">
        <f t="shared" si="5"/>
        <v>102.0482979544846</v>
      </c>
      <c r="R38" s="51">
        <f t="shared" si="6"/>
        <v>101.18734100465289</v>
      </c>
      <c r="S38" s="51">
        <f t="shared" si="7"/>
        <v>101.3254687142892</v>
      </c>
      <c r="T38" s="51"/>
    </row>
    <row r="39" spans="1:22">
      <c r="A39" s="13">
        <v>2002</v>
      </c>
      <c r="B39" s="51">
        <v>443.67599999999999</v>
      </c>
      <c r="C39" s="51">
        <v>1930.4</v>
      </c>
      <c r="D39" s="51">
        <v>585.29999999999995</v>
      </c>
      <c r="E39" s="51">
        <v>2195.5</v>
      </c>
      <c r="F39" s="51">
        <f t="shared" si="0"/>
        <v>2374.076</v>
      </c>
      <c r="G39" s="51">
        <f t="shared" si="1"/>
        <v>75.80317785750897</v>
      </c>
      <c r="H39" s="51">
        <f t="shared" si="2"/>
        <v>87.925301753586879</v>
      </c>
      <c r="I39" s="51">
        <f t="shared" si="3"/>
        <v>85.659874934177452</v>
      </c>
      <c r="K39" s="13">
        <v>2014</v>
      </c>
      <c r="L39" s="51">
        <v>72.805999999999997</v>
      </c>
      <c r="M39" s="51">
        <v>410.59100000000001</v>
      </c>
      <c r="N39" s="51">
        <v>69.421250000000001</v>
      </c>
      <c r="O39" s="51">
        <v>391.86324999999999</v>
      </c>
      <c r="P39" s="51">
        <f>L39+M39</f>
        <v>483.39699999999999</v>
      </c>
      <c r="Q39" s="51">
        <f>100*L39/N39</f>
        <v>104.87566847327007</v>
      </c>
      <c r="R39" s="51">
        <f>100*M39/O39</f>
        <v>104.77915446268564</v>
      </c>
      <c r="S39" s="51">
        <f>((L39/P39)*Q39)+((M39/P39)*R39)</f>
        <v>104.79369075284592</v>
      </c>
      <c r="T39" s="51"/>
    </row>
    <row r="40" spans="1:22">
      <c r="A40" s="13">
        <v>2003</v>
      </c>
      <c r="B40" s="51">
        <v>464.221</v>
      </c>
      <c r="C40" s="51">
        <v>2027.1</v>
      </c>
      <c r="D40" s="51">
        <v>604.6</v>
      </c>
      <c r="E40" s="51">
        <v>2290.4</v>
      </c>
      <c r="F40" s="51">
        <f t="shared" si="0"/>
        <v>2491.3209999999999</v>
      </c>
      <c r="G40" s="51">
        <f t="shared" si="1"/>
        <v>76.781508435329144</v>
      </c>
      <c r="H40" s="51">
        <f t="shared" si="2"/>
        <v>88.504191407614385</v>
      </c>
      <c r="I40" s="51">
        <f t="shared" si="3"/>
        <v>86.319841975294253</v>
      </c>
      <c r="K40" s="13">
        <v>2015</v>
      </c>
      <c r="L40" s="51">
        <v>76.343999999999994</v>
      </c>
      <c r="M40" s="51">
        <v>395.43200000000002</v>
      </c>
      <c r="N40" s="51">
        <v>70.478999999999999</v>
      </c>
      <c r="O40" s="51">
        <v>366.90674999999999</v>
      </c>
      <c r="P40" s="51">
        <f>L40+M40</f>
        <v>471.77600000000001</v>
      </c>
      <c r="Q40" s="51">
        <f>100*L40/N40</f>
        <v>108.32162771889499</v>
      </c>
      <c r="R40" s="51">
        <f>100*M40/O40</f>
        <v>107.77452309067633</v>
      </c>
      <c r="S40" s="51">
        <f>((L40/P40)*Q40)+((M40/P40)*R40)</f>
        <v>107.86305696212533</v>
      </c>
      <c r="T40" s="51"/>
    </row>
    <row r="41" spans="1:22">
      <c r="A41" s="13">
        <v>2004</v>
      </c>
      <c r="B41" s="51">
        <v>486.20400000000001</v>
      </c>
      <c r="C41" s="51">
        <v>2281.3000000000002</v>
      </c>
      <c r="D41" s="51">
        <v>614</v>
      </c>
      <c r="E41" s="51">
        <v>2502.6</v>
      </c>
      <c r="F41" s="51">
        <f t="shared" si="0"/>
        <v>2767.5040000000004</v>
      </c>
      <c r="G41" s="51">
        <f t="shared" si="1"/>
        <v>79.186319218241039</v>
      </c>
      <c r="H41" s="51">
        <f t="shared" si="2"/>
        <v>91.157196515623767</v>
      </c>
      <c r="I41" s="51">
        <f t="shared" si="3"/>
        <v>89.05411430671036</v>
      </c>
      <c r="K41" s="13">
        <v>2016</v>
      </c>
      <c r="L41" s="51">
        <v>75.063999999999993</v>
      </c>
      <c r="M41" s="51">
        <v>386.66800000000001</v>
      </c>
      <c r="N41" s="51">
        <v>68.825749999999999</v>
      </c>
      <c r="O41" s="51">
        <v>349.89325000000002</v>
      </c>
      <c r="P41" s="51">
        <f t="shared" ref="P41:P43" si="8">L41+M41</f>
        <v>461.73199999999997</v>
      </c>
      <c r="Q41" s="51">
        <f t="shared" ref="Q41:Q43" si="9">100*L41/N41</f>
        <v>109.06383148748833</v>
      </c>
      <c r="R41" s="51">
        <f t="shared" ref="R41:R43" si="10">100*M41/O41</f>
        <v>110.51027706307566</v>
      </c>
      <c r="S41" s="51">
        <f t="shared" ref="S41:S43" si="11">((L41/P41)*Q41)+((M41/P41)*R41)</f>
        <v>110.27512768922702</v>
      </c>
      <c r="T41" s="51"/>
    </row>
    <row r="42" spans="1:22">
      <c r="A42" s="13">
        <v>2005</v>
      </c>
      <c r="B42" s="51">
        <v>513.28599999999994</v>
      </c>
      <c r="C42" s="51">
        <v>2534.6999999999998</v>
      </c>
      <c r="D42" s="51">
        <v>616.79999999999995</v>
      </c>
      <c r="E42" s="51">
        <v>2670.6</v>
      </c>
      <c r="F42" s="51">
        <f t="shared" si="0"/>
        <v>3047.9859999999999</v>
      </c>
      <c r="G42" s="51">
        <f t="shared" si="1"/>
        <v>83.21757457846951</v>
      </c>
      <c r="H42" s="51">
        <f t="shared" si="2"/>
        <v>94.911255897551101</v>
      </c>
      <c r="I42" s="51">
        <f t="shared" si="3"/>
        <v>92.942020176144865</v>
      </c>
      <c r="K42" s="13">
        <v>2017</v>
      </c>
      <c r="L42" s="51">
        <v>80.872</v>
      </c>
      <c r="M42" s="51">
        <v>402.774</v>
      </c>
      <c r="N42" s="51">
        <v>73.144999999999996</v>
      </c>
      <c r="O42" s="51">
        <v>357.96600000000001</v>
      </c>
      <c r="P42" s="51">
        <f t="shared" si="8"/>
        <v>483.64600000000002</v>
      </c>
      <c r="Q42" s="51">
        <f t="shared" si="9"/>
        <v>110.56394832182652</v>
      </c>
      <c r="R42" s="51">
        <f t="shared" si="10"/>
        <v>112.51738991971305</v>
      </c>
      <c r="S42" s="51">
        <f t="shared" si="11"/>
        <v>112.19074868024394</v>
      </c>
      <c r="T42" s="51"/>
    </row>
    <row r="43" spans="1:22">
      <c r="A43" s="13">
        <v>2006</v>
      </c>
      <c r="B43" s="51">
        <v>550.89300000000003</v>
      </c>
      <c r="C43" s="51">
        <v>2701</v>
      </c>
      <c r="D43" s="51">
        <v>635.4</v>
      </c>
      <c r="E43" s="51">
        <v>2752.4</v>
      </c>
      <c r="F43" s="51">
        <f t="shared" si="0"/>
        <v>3251.893</v>
      </c>
      <c r="G43" s="51">
        <f t="shared" si="1"/>
        <v>86.700188857412655</v>
      </c>
      <c r="H43" s="51">
        <f t="shared" si="2"/>
        <v>98.13253887516349</v>
      </c>
      <c r="I43" s="51">
        <f t="shared" si="3"/>
        <v>96.195820293608449</v>
      </c>
      <c r="K43" s="13">
        <v>2018</v>
      </c>
      <c r="L43" s="51">
        <v>85.685000000000002</v>
      </c>
      <c r="M43" s="51">
        <v>410.214</v>
      </c>
      <c r="N43" s="51">
        <v>75.799750000000003</v>
      </c>
      <c r="O43" s="51">
        <v>360.45249999999999</v>
      </c>
      <c r="P43" s="51">
        <f t="shared" si="8"/>
        <v>495.899</v>
      </c>
      <c r="Q43" s="51">
        <f t="shared" si="9"/>
        <v>113.04126992503274</v>
      </c>
      <c r="R43" s="51">
        <f t="shared" si="10"/>
        <v>113.80528641083085</v>
      </c>
      <c r="S43" s="51">
        <f t="shared" si="11"/>
        <v>113.67327414102267</v>
      </c>
      <c r="T43" s="51"/>
    </row>
    <row r="44" spans="1:22">
      <c r="A44" s="13">
        <v>2007</v>
      </c>
      <c r="B44" s="51">
        <v>592.024</v>
      </c>
      <c r="C44" s="51">
        <v>2673</v>
      </c>
      <c r="D44" s="51">
        <v>651.5</v>
      </c>
      <c r="E44" s="51">
        <v>2684.1</v>
      </c>
      <c r="F44" s="51">
        <f t="shared" si="0"/>
        <v>3265.0239999999999</v>
      </c>
      <c r="G44" s="51">
        <f t="shared" si="1"/>
        <v>90.870913277052964</v>
      </c>
      <c r="H44" s="51">
        <f t="shared" si="2"/>
        <v>99.586453559852472</v>
      </c>
      <c r="I44" s="51">
        <f t="shared" si="3"/>
        <v>98.006125507016094</v>
      </c>
      <c r="T44" s="51"/>
    </row>
    <row r="45" spans="1:22">
      <c r="A45" s="13">
        <v>2008</v>
      </c>
      <c r="B45" s="51">
        <v>629.59500000000003</v>
      </c>
      <c r="C45" s="51">
        <v>2477.6</v>
      </c>
      <c r="D45" s="51">
        <v>670</v>
      </c>
      <c r="E45" s="51">
        <v>2462.9</v>
      </c>
      <c r="F45" s="51">
        <f t="shared" si="0"/>
        <v>3107.1949999999997</v>
      </c>
      <c r="G45" s="51">
        <f t="shared" si="1"/>
        <v>93.969402985074623</v>
      </c>
      <c r="H45" s="51">
        <f t="shared" si="2"/>
        <v>100.59685736327094</v>
      </c>
      <c r="I45" s="51">
        <f t="shared" si="3"/>
        <v>99.253970245069311</v>
      </c>
      <c r="K45" s="5" t="s">
        <v>139</v>
      </c>
      <c r="L45" s="125"/>
      <c r="M45" s="13"/>
      <c r="T45" s="51"/>
    </row>
    <row r="46" spans="1:22">
      <c r="A46" s="13">
        <v>2009</v>
      </c>
      <c r="B46" s="51">
        <v>642.90899999999999</v>
      </c>
      <c r="C46" s="51">
        <v>1929.7</v>
      </c>
      <c r="D46" s="51">
        <v>677.5</v>
      </c>
      <c r="E46" s="51">
        <v>1942</v>
      </c>
      <c r="F46" s="51">
        <f t="shared" si="0"/>
        <v>2572.6089999999999</v>
      </c>
      <c r="G46" s="51">
        <f t="shared" si="1"/>
        <v>94.894317343173441</v>
      </c>
      <c r="H46" s="51">
        <f t="shared" si="2"/>
        <v>99.366632337796091</v>
      </c>
      <c r="I46" s="51">
        <f t="shared" si="3"/>
        <v>98.248976463592953</v>
      </c>
      <c r="K46" s="126" t="s">
        <v>138</v>
      </c>
      <c r="L46" s="72">
        <f t="shared" ref="L46:S46" si="12">100*((L14/L6)^(1/8)-1)</f>
        <v>7.0390652366204565</v>
      </c>
      <c r="M46" s="57">
        <f t="shared" si="12"/>
        <v>6.5897951484212181</v>
      </c>
      <c r="N46" s="57">
        <f t="shared" si="12"/>
        <v>3.8969236166513932</v>
      </c>
      <c r="O46" s="57">
        <f t="shared" si="12"/>
        <v>2.9776666175771016</v>
      </c>
      <c r="P46" s="57">
        <f t="shared" si="12"/>
        <v>6.6576136245342976</v>
      </c>
      <c r="Q46" s="57">
        <f t="shared" si="12"/>
        <v>3.0242874481660742</v>
      </c>
      <c r="R46" s="57">
        <f t="shared" si="12"/>
        <v>3.507681470641888</v>
      </c>
      <c r="S46" s="58">
        <f t="shared" si="12"/>
        <v>3.4344650170575086</v>
      </c>
      <c r="T46" s="51"/>
    </row>
    <row r="47" spans="1:22">
      <c r="A47" s="13">
        <v>2010</v>
      </c>
      <c r="B47" s="51">
        <v>644.50400000000002</v>
      </c>
      <c r="C47" s="51">
        <v>2165.5</v>
      </c>
      <c r="D47" s="51">
        <v>674.6</v>
      </c>
      <c r="E47" s="51">
        <v>2216.5</v>
      </c>
      <c r="F47" s="51">
        <f t="shared" si="0"/>
        <v>2810.0039999999999</v>
      </c>
      <c r="G47" s="51">
        <f t="shared" si="1"/>
        <v>95.538689593833382</v>
      </c>
      <c r="H47" s="51">
        <f t="shared" si="2"/>
        <v>97.69907511842996</v>
      </c>
      <c r="I47" s="51">
        <f t="shared" si="3"/>
        <v>97.203567954687628</v>
      </c>
      <c r="K47" s="81" t="s">
        <v>27</v>
      </c>
      <c r="L47" s="73">
        <f t="shared" ref="L47:S47" si="13">100*((L25/L14)^(1/11)-1)</f>
        <v>2.8980394696464851</v>
      </c>
      <c r="M47" s="10">
        <f t="shared" si="13"/>
        <v>3.1914809902396701</v>
      </c>
      <c r="N47" s="10">
        <f t="shared" si="13"/>
        <v>1.8389101450430712</v>
      </c>
      <c r="O47" s="10">
        <f t="shared" si="13"/>
        <v>2.1336792538687366</v>
      </c>
      <c r="P47" s="10">
        <f t="shared" si="13"/>
        <v>3.1470087609735131</v>
      </c>
      <c r="Q47" s="10">
        <f t="shared" si="13"/>
        <v>1.0400045749654696</v>
      </c>
      <c r="R47" s="10">
        <f t="shared" si="13"/>
        <v>1.0357031530623617</v>
      </c>
      <c r="S47" s="11">
        <f t="shared" si="13"/>
        <v>1.0371863199213793</v>
      </c>
      <c r="T47" s="51"/>
    </row>
    <row r="48" spans="1:22">
      <c r="A48" s="13">
        <v>2011</v>
      </c>
      <c r="B48" s="51">
        <v>636.61800000000005</v>
      </c>
      <c r="C48" s="51">
        <v>2332.6</v>
      </c>
      <c r="D48" s="51">
        <v>650.1</v>
      </c>
      <c r="E48" s="51">
        <v>2362.1</v>
      </c>
      <c r="F48" s="51">
        <f t="shared" si="0"/>
        <v>2969.2179999999998</v>
      </c>
      <c r="G48" s="51">
        <f t="shared" si="1"/>
        <v>97.92616520535303</v>
      </c>
      <c r="H48" s="51">
        <f t="shared" si="2"/>
        <v>98.751111299267606</v>
      </c>
      <c r="I48" s="51">
        <f t="shared" si="3"/>
        <v>98.574237949983143</v>
      </c>
      <c r="K48" s="81" t="s">
        <v>28</v>
      </c>
      <c r="L48" s="73">
        <f t="shared" ref="L48:S48" si="14">100*((L33/L25)^(1/8)-1)</f>
        <v>9.2863710849427896</v>
      </c>
      <c r="M48" s="10">
        <f t="shared" si="14"/>
        <v>7.2266253042401862</v>
      </c>
      <c r="N48" s="10">
        <f t="shared" si="14"/>
        <v>6.3598142847726802</v>
      </c>
      <c r="O48" s="10">
        <f t="shared" si="14"/>
        <v>4.6220068317750718</v>
      </c>
      <c r="P48" s="10">
        <f t="shared" si="14"/>
        <v>7.5522975710869966</v>
      </c>
      <c r="Q48" s="10">
        <f t="shared" si="14"/>
        <v>2.7515625331334448</v>
      </c>
      <c r="R48" s="10">
        <f t="shared" si="14"/>
        <v>2.4895512438918965</v>
      </c>
      <c r="S48" s="11">
        <f t="shared" si="14"/>
        <v>2.5276069546420254</v>
      </c>
      <c r="T48" s="51"/>
    </row>
    <row r="49" spans="1:20">
      <c r="A49" s="13">
        <v>2012</v>
      </c>
      <c r="B49" s="51">
        <v>621.03099999999995</v>
      </c>
      <c r="C49" s="51">
        <v>2621.8</v>
      </c>
      <c r="D49" s="51">
        <v>621</v>
      </c>
      <c r="E49" s="51">
        <v>2621.8</v>
      </c>
      <c r="F49" s="51">
        <f t="shared" si="0"/>
        <v>3242.8310000000001</v>
      </c>
      <c r="G49" s="51">
        <f t="shared" si="1"/>
        <v>100.00499194847019</v>
      </c>
      <c r="H49" s="51">
        <f t="shared" si="2"/>
        <v>100</v>
      </c>
      <c r="I49" s="51">
        <f t="shared" si="3"/>
        <v>100.00095600256394</v>
      </c>
      <c r="K49" s="82" t="s">
        <v>152</v>
      </c>
      <c r="L49" s="74">
        <f t="shared" ref="L49:S49" si="15">100*((L33/L6)^(1/27)-1)</f>
        <v>5.9827014781366428</v>
      </c>
      <c r="M49" s="59">
        <f t="shared" si="15"/>
        <v>5.3778178097501961</v>
      </c>
      <c r="N49" s="59">
        <f t="shared" si="15"/>
        <v>3.7713645279618735</v>
      </c>
      <c r="O49" s="59">
        <f t="shared" si="15"/>
        <v>3.1158587058485177</v>
      </c>
      <c r="P49" s="59">
        <f t="shared" si="15"/>
        <v>5.473902956627974</v>
      </c>
      <c r="Q49" s="59">
        <f t="shared" si="15"/>
        <v>2.1309702924633855</v>
      </c>
      <c r="R49" s="59">
        <f t="shared" si="15"/>
        <v>2.1936093364204989</v>
      </c>
      <c r="S49" s="60">
        <f t="shared" si="15"/>
        <v>2.184036147028845</v>
      </c>
      <c r="T49" s="51"/>
    </row>
    <row r="50" spans="1:20">
      <c r="A50" s="13">
        <v>2013</v>
      </c>
      <c r="B50" s="51">
        <v>600.40300000000002</v>
      </c>
      <c r="C50" s="51">
        <v>2826</v>
      </c>
      <c r="D50" s="51">
        <v>592.70000000000005</v>
      </c>
      <c r="E50" s="51">
        <v>2801.5</v>
      </c>
      <c r="F50" s="51">
        <f t="shared" si="0"/>
        <v>3426.4030000000002</v>
      </c>
      <c r="G50" s="51">
        <f t="shared" si="1"/>
        <v>101.29964568921882</v>
      </c>
      <c r="H50" s="51">
        <f t="shared" si="2"/>
        <v>100.87453150098162</v>
      </c>
      <c r="I50" s="51">
        <f t="shared" si="3"/>
        <v>100.94902356568042</v>
      </c>
      <c r="K50" s="21"/>
      <c r="L50" s="10"/>
      <c r="M50" s="10"/>
      <c r="T50" s="51"/>
    </row>
    <row r="51" spans="1:20">
      <c r="A51" s="13">
        <v>2014</v>
      </c>
      <c r="B51" s="51">
        <v>601.84100000000001</v>
      </c>
      <c r="C51" s="51">
        <v>3038.9</v>
      </c>
      <c r="D51" s="51">
        <v>584.1</v>
      </c>
      <c r="E51" s="51">
        <v>2951.6</v>
      </c>
      <c r="F51" s="51">
        <f t="shared" si="0"/>
        <v>3640.741</v>
      </c>
      <c r="G51" s="51">
        <f t="shared" si="1"/>
        <v>103.03732237630543</v>
      </c>
      <c r="H51" s="51">
        <f t="shared" si="2"/>
        <v>102.95771784794688</v>
      </c>
      <c r="I51" s="51">
        <f t="shared" si="3"/>
        <v>102.97087705618274</v>
      </c>
      <c r="K51" s="70" t="s">
        <v>140</v>
      </c>
      <c r="L51" s="10"/>
      <c r="M51" s="10"/>
      <c r="T51" s="51"/>
    </row>
    <row r="52" spans="1:20">
      <c r="A52" s="13">
        <v>2015</v>
      </c>
      <c r="B52" s="51">
        <v>621.50400000000002</v>
      </c>
      <c r="C52" s="51">
        <v>3212</v>
      </c>
      <c r="D52" s="51">
        <v>599.5</v>
      </c>
      <c r="E52" s="51">
        <v>3092.2</v>
      </c>
      <c r="F52" s="51">
        <f t="shared" si="0"/>
        <v>3833.5039999999999</v>
      </c>
      <c r="G52" s="51">
        <f t="shared" si="1"/>
        <v>103.67039199332777</v>
      </c>
      <c r="H52" s="51">
        <f t="shared" si="2"/>
        <v>103.87426427786043</v>
      </c>
      <c r="I52" s="51">
        <f t="shared" si="3"/>
        <v>103.8412116345539</v>
      </c>
      <c r="K52" s="66" t="s">
        <v>192</v>
      </c>
      <c r="L52" s="72">
        <f>100*((L42/L6)^(1/36)-1)</f>
        <v>5.0655359813519985</v>
      </c>
      <c r="M52" s="72">
        <f t="shared" ref="M52:S52" si="16">100*((M42/M6)^(1/36)-1)</f>
        <v>4.6682218239008755</v>
      </c>
      <c r="N52" s="72">
        <f t="shared" si="16"/>
        <v>2.9559271896575812</v>
      </c>
      <c r="O52" s="72">
        <f t="shared" si="16"/>
        <v>2.4763432803543761</v>
      </c>
      <c r="P52" s="72">
        <f t="shared" si="16"/>
        <v>4.7308978810465696</v>
      </c>
      <c r="Q52" s="72">
        <f t="shared" si="16"/>
        <v>2.0490406422237761</v>
      </c>
      <c r="R52" s="72">
        <f t="shared" si="16"/>
        <v>2.1389117462456309</v>
      </c>
      <c r="S52" s="72">
        <f t="shared" si="16"/>
        <v>2.1246322480427793</v>
      </c>
      <c r="T52" s="51"/>
    </row>
    <row r="53" spans="1:20">
      <c r="A53" s="13">
        <v>2016</v>
      </c>
      <c r="B53" s="51">
        <v>631.49099999999999</v>
      </c>
      <c r="C53" s="51">
        <v>3169.9</v>
      </c>
      <c r="D53" s="51">
        <v>606.9</v>
      </c>
      <c r="E53" s="51">
        <v>3050.5</v>
      </c>
      <c r="F53" s="51">
        <f t="shared" si="0"/>
        <v>3801.3910000000001</v>
      </c>
      <c r="G53" s="51">
        <f t="shared" si="1"/>
        <v>104.05190311418686</v>
      </c>
      <c r="H53" s="51">
        <f t="shared" si="2"/>
        <v>103.91411244058351</v>
      </c>
      <c r="I53" s="51">
        <f t="shared" si="3"/>
        <v>103.93700236962908</v>
      </c>
      <c r="K53" s="67" t="s">
        <v>193</v>
      </c>
      <c r="L53" s="73">
        <f>100*((L42/L25)^(1/17)-1)</f>
        <v>5.5637752730232304</v>
      </c>
      <c r="M53" s="73">
        <f t="shared" ref="M53:S53" si="17">100*((M42/M25)^(1/17)-1)</f>
        <v>4.734516415008394</v>
      </c>
      <c r="N53" s="73">
        <f t="shared" si="17"/>
        <v>3.2422393084032608</v>
      </c>
      <c r="O53" s="73">
        <f t="shared" si="17"/>
        <v>2.463097774028844</v>
      </c>
      <c r="P53" s="73">
        <f t="shared" si="17"/>
        <v>4.8652316336969426</v>
      </c>
      <c r="Q53" s="73">
        <f t="shared" si="17"/>
        <v>2.2486299988952352</v>
      </c>
      <c r="R53" s="73">
        <f t="shared" si="17"/>
        <v>2.2168162883274611</v>
      </c>
      <c r="S53" s="73">
        <f t="shared" si="17"/>
        <v>2.2196184500790084</v>
      </c>
      <c r="T53" s="51"/>
    </row>
    <row r="54" spans="1:20">
      <c r="A54" s="13">
        <v>2017</v>
      </c>
      <c r="B54" s="51">
        <v>643.18899999999996</v>
      </c>
      <c r="C54" s="51">
        <v>3368</v>
      </c>
      <c r="D54" s="51">
        <v>607.1</v>
      </c>
      <c r="E54" s="51">
        <v>3196.6</v>
      </c>
      <c r="F54" s="51">
        <f t="shared" si="0"/>
        <v>4011.1889999999999</v>
      </c>
      <c r="G54" s="51">
        <f t="shared" si="1"/>
        <v>105.94449019930818</v>
      </c>
      <c r="H54" s="51">
        <f t="shared" si="2"/>
        <v>105.36194706876056</v>
      </c>
      <c r="I54" s="51">
        <f t="shared" si="3"/>
        <v>105.45535711091858</v>
      </c>
      <c r="K54" s="129" t="s">
        <v>194</v>
      </c>
      <c r="L54" s="74">
        <f>((L42/L33)^(1/9)-1)*100</f>
        <v>2.3613877825239049</v>
      </c>
      <c r="M54" s="74">
        <f t="shared" ref="M54:S54" si="18">((M42/M33)^(1/9)-1)*100</f>
        <v>2.5679751574256393</v>
      </c>
      <c r="N54" s="74">
        <f t="shared" si="18"/>
        <v>0.54786049425223915</v>
      </c>
      <c r="O54" s="74">
        <f t="shared" si="18"/>
        <v>0.5814960721601814</v>
      </c>
      <c r="P54" s="74">
        <f t="shared" si="18"/>
        <v>2.5331397788599164</v>
      </c>
      <c r="Q54" s="74">
        <f t="shared" si="18"/>
        <v>1.8036458253384069</v>
      </c>
      <c r="R54" s="74">
        <f t="shared" si="18"/>
        <v>1.9749945694188975</v>
      </c>
      <c r="S54" s="74">
        <f t="shared" si="18"/>
        <v>1.9466276747749589</v>
      </c>
      <c r="T54" s="51"/>
    </row>
    <row r="55" spans="1:20">
      <c r="I55" s="9"/>
      <c r="K55" s="159"/>
      <c r="L55" s="10"/>
      <c r="M55" s="10"/>
      <c r="N55" s="10"/>
      <c r="O55" s="10"/>
      <c r="P55" s="10"/>
      <c r="Q55" s="10"/>
      <c r="R55" s="10"/>
      <c r="S55" s="10"/>
      <c r="T55" s="51"/>
    </row>
    <row r="56" spans="1:20">
      <c r="A56" s="5" t="s">
        <v>139</v>
      </c>
      <c r="B56" s="125"/>
      <c r="C56" s="13"/>
      <c r="K56" s="159"/>
      <c r="L56" s="10"/>
      <c r="M56" s="10"/>
      <c r="N56" s="10"/>
      <c r="O56" s="10"/>
      <c r="P56" s="10"/>
      <c r="Q56" s="10"/>
      <c r="R56" s="10"/>
      <c r="S56" s="10"/>
      <c r="T56" s="51"/>
    </row>
    <row r="57" spans="1:20">
      <c r="A57" s="66" t="s">
        <v>138</v>
      </c>
      <c r="B57" s="72">
        <f t="shared" ref="B57:I57" si="19">100*((B26/B18)^(1/8)-1)</f>
        <v>7.8865679157196222</v>
      </c>
      <c r="C57" s="57">
        <f t="shared" si="19"/>
        <v>5.9163089487503262</v>
      </c>
      <c r="D57" s="57">
        <f t="shared" si="19"/>
        <v>5.4832567767928664</v>
      </c>
      <c r="E57" s="57">
        <f t="shared" si="19"/>
        <v>3.6814372787824956</v>
      </c>
      <c r="F57" s="57">
        <f t="shared" si="19"/>
        <v>6.3092449500556036</v>
      </c>
      <c r="G57" s="57">
        <f t="shared" si="19"/>
        <v>2.2783816241209509</v>
      </c>
      <c r="H57" s="57">
        <f t="shared" si="19"/>
        <v>2.1555176400174902</v>
      </c>
      <c r="I57" s="58">
        <f t="shared" si="19"/>
        <v>2.0976031534938766</v>
      </c>
      <c r="K57" s="42" t="s">
        <v>159</v>
      </c>
      <c r="L57" s="51"/>
      <c r="M57" s="51"/>
      <c r="N57" s="51"/>
      <c r="O57" s="51"/>
      <c r="P57" s="51"/>
      <c r="Q57" s="51"/>
      <c r="R57" s="51"/>
      <c r="S57" s="51"/>
      <c r="T57" s="51"/>
    </row>
    <row r="58" spans="1:20">
      <c r="A58" s="67" t="s">
        <v>27</v>
      </c>
      <c r="B58" s="73">
        <f t="shared" ref="B58:I58" si="20">100*((B37/B26)^(1/11)-1)</f>
        <v>3.3566445424479063</v>
      </c>
      <c r="C58" s="10">
        <f t="shared" si="20"/>
        <v>6.6913143516586171</v>
      </c>
      <c r="D58" s="10">
        <f t="shared" si="20"/>
        <v>1.4603095548826994</v>
      </c>
      <c r="E58" s="10">
        <f t="shared" si="20"/>
        <v>5.8516831392789959</v>
      </c>
      <c r="F58" s="10">
        <f t="shared" si="20"/>
        <v>6.0643839065840588</v>
      </c>
      <c r="G58" s="10">
        <f t="shared" si="20"/>
        <v>1.8690412003320667</v>
      </c>
      <c r="H58" s="10">
        <f t="shared" si="20"/>
        <v>0.79321479590914734</v>
      </c>
      <c r="I58" s="11">
        <f t="shared" si="20"/>
        <v>1.0576973497873565</v>
      </c>
      <c r="L58" s="51"/>
      <c r="M58" s="51"/>
      <c r="N58" s="51"/>
      <c r="O58" s="51"/>
      <c r="P58" s="51"/>
      <c r="Q58" s="51"/>
      <c r="R58" s="51"/>
      <c r="S58" s="51"/>
      <c r="T58" s="51"/>
    </row>
    <row r="59" spans="1:20">
      <c r="A59" s="67" t="s">
        <v>28</v>
      </c>
      <c r="B59" s="73">
        <f t="shared" ref="B59:I59" si="21">100*((B45/B37)^(1/8)-1)</f>
        <v>6.2086517737412139</v>
      </c>
      <c r="C59" s="10">
        <f t="shared" si="21"/>
        <v>2.4690530367454055</v>
      </c>
      <c r="D59" s="10">
        <f t="shared" si="21"/>
        <v>3.1101728661399042</v>
      </c>
      <c r="E59" s="10">
        <f t="shared" si="21"/>
        <v>0.605946365765897</v>
      </c>
      <c r="F59" s="10">
        <f t="shared" si="21"/>
        <v>3.1351607795963021</v>
      </c>
      <c r="G59" s="10">
        <f t="shared" si="21"/>
        <v>3.0050176636051695</v>
      </c>
      <c r="H59" s="10">
        <f t="shared" si="21"/>
        <v>1.851885239671569</v>
      </c>
      <c r="I59" s="11">
        <f t="shared" si="21"/>
        <v>1.9828894719984946</v>
      </c>
      <c r="L59" s="51"/>
      <c r="M59" s="51"/>
      <c r="N59" s="51"/>
      <c r="O59" s="51"/>
      <c r="P59" s="51"/>
      <c r="Q59" s="51"/>
      <c r="R59" s="51"/>
      <c r="S59" s="51"/>
      <c r="T59" s="51"/>
    </row>
    <row r="60" spans="1:20">
      <c r="A60" s="68" t="s">
        <v>152</v>
      </c>
      <c r="B60" s="74">
        <f>100*((B41/B18)^(1/23)-1)</f>
        <v>5.3278902698032704</v>
      </c>
      <c r="C60" s="59">
        <f t="shared" ref="C60:I60" si="22">100*((C41/C18)^(1/23)-1)</f>
        <v>5.7454134497119336</v>
      </c>
      <c r="D60" s="59">
        <f t="shared" si="22"/>
        <v>3.2888786834385231</v>
      </c>
      <c r="E60" s="59">
        <f t="shared" si="22"/>
        <v>4.348860887766004</v>
      </c>
      <c r="F60" s="59">
        <f t="shared" si="22"/>
        <v>5.6691331255753319</v>
      </c>
      <c r="G60" s="59">
        <f t="shared" si="22"/>
        <v>1.9740862833973916</v>
      </c>
      <c r="H60" s="59">
        <f t="shared" si="22"/>
        <v>1.3383495996645456</v>
      </c>
      <c r="I60" s="60">
        <f t="shared" si="22"/>
        <v>1.4471072567453502</v>
      </c>
      <c r="L60" s="51"/>
      <c r="M60" s="51"/>
      <c r="N60" s="51"/>
      <c r="O60" s="51"/>
      <c r="P60" s="51"/>
      <c r="Q60" s="51"/>
      <c r="R60" s="51"/>
      <c r="S60" s="51"/>
      <c r="T60" s="51"/>
    </row>
    <row r="61" spans="1:20">
      <c r="L61" s="51"/>
      <c r="M61" s="51"/>
      <c r="N61" s="51"/>
      <c r="O61" s="51"/>
      <c r="P61" s="51"/>
      <c r="Q61" s="51"/>
      <c r="R61" s="51"/>
      <c r="S61" s="51"/>
      <c r="T61" s="51"/>
    </row>
    <row r="62" spans="1:20">
      <c r="A62" s="70" t="s">
        <v>140</v>
      </c>
      <c r="B62" s="10"/>
      <c r="C62" s="10"/>
      <c r="L62" s="51"/>
      <c r="M62" s="51"/>
      <c r="N62" s="51"/>
      <c r="O62" s="51"/>
      <c r="P62" s="51"/>
      <c r="Q62" s="51"/>
      <c r="R62" s="51"/>
      <c r="S62" s="51"/>
      <c r="T62" s="51"/>
    </row>
    <row r="63" spans="1:20">
      <c r="A63" s="66" t="s">
        <v>192</v>
      </c>
      <c r="B63" s="57">
        <f>100*((B54/B18)^(1/36)-1)</f>
        <v>4.1785422618005885</v>
      </c>
      <c r="C63" s="57">
        <f t="shared" ref="C63:I63" si="23">100*((C54/C18)^(1/36)-1)</f>
        <v>4.7611220856534686</v>
      </c>
      <c r="D63" s="57">
        <f t="shared" si="23"/>
        <v>2.0568895362715223</v>
      </c>
      <c r="E63" s="57">
        <f t="shared" si="23"/>
        <v>3.4580490565292665</v>
      </c>
      <c r="F63" s="57">
        <f t="shared" si="23"/>
        <v>4.6592362052972458</v>
      </c>
      <c r="G63" s="57">
        <f t="shared" si="23"/>
        <v>2.0788922092074946</v>
      </c>
      <c r="H63" s="57">
        <f t="shared" si="23"/>
        <v>1.2595182694893126</v>
      </c>
      <c r="I63" s="57">
        <f t="shared" si="23"/>
        <v>1.3971504935549106</v>
      </c>
      <c r="L63" s="51"/>
      <c r="M63" s="51"/>
      <c r="N63" s="51"/>
      <c r="O63" s="51"/>
      <c r="P63" s="51"/>
      <c r="Q63" s="51"/>
      <c r="R63" s="51"/>
      <c r="S63" s="51"/>
      <c r="T63" s="51"/>
    </row>
    <row r="64" spans="1:20">
      <c r="A64" s="67" t="s">
        <v>193</v>
      </c>
      <c r="B64" s="10">
        <f>100*((B54/B37)^(1/17)-1)</f>
        <v>3.0045158157884888</v>
      </c>
      <c r="C64" s="10">
        <f t="shared" ref="C64:I64" si="24">100*((C54/C37)^(1/17)-1)</f>
        <v>2.9979053156201863</v>
      </c>
      <c r="D64" s="10">
        <f t="shared" si="24"/>
        <v>0.86512529563134155</v>
      </c>
      <c r="E64" s="10">
        <f t="shared" si="24"/>
        <v>1.8347320043838433</v>
      </c>
      <c r="F64" s="10">
        <f t="shared" si="24"/>
        <v>2.9989647868724711</v>
      </c>
      <c r="G64" s="10">
        <f t="shared" si="24"/>
        <v>2.121040859153922</v>
      </c>
      <c r="H64" s="10">
        <f t="shared" si="24"/>
        <v>1.1422166959561997</v>
      </c>
      <c r="I64" s="10">
        <f t="shared" si="24"/>
        <v>1.288731662289111</v>
      </c>
      <c r="S64" s="9"/>
      <c r="T64" s="51"/>
    </row>
    <row r="65" spans="1:44">
      <c r="A65" s="129" t="s">
        <v>194</v>
      </c>
      <c r="B65" s="59">
        <f>((B54/B45)^(1/9)-1)*100</f>
        <v>0.23763590990755201</v>
      </c>
      <c r="C65" s="59">
        <f t="shared" ref="C65:I65" si="25">((C54/C45)^(1/9)-1)*100</f>
        <v>3.4702871876413521</v>
      </c>
      <c r="D65" s="59">
        <f t="shared" si="25"/>
        <v>-1.0894024512507983</v>
      </c>
      <c r="E65" s="59">
        <f t="shared" si="25"/>
        <v>2.9395797014453828</v>
      </c>
      <c r="F65" s="59">
        <f t="shared" si="25"/>
        <v>2.8780526787884009</v>
      </c>
      <c r="G65" s="59">
        <f t="shared" si="25"/>
        <v>1.3416543768268063</v>
      </c>
      <c r="H65" s="59">
        <f t="shared" si="25"/>
        <v>0.51555241213840919</v>
      </c>
      <c r="I65" s="59">
        <f t="shared" si="25"/>
        <v>0.67567005065019003</v>
      </c>
      <c r="S65" s="9"/>
    </row>
    <row r="66" spans="1:44">
      <c r="K66" s="1"/>
    </row>
    <row r="67" spans="1:44">
      <c r="A67" s="174" t="s">
        <v>167</v>
      </c>
      <c r="B67" s="174"/>
      <c r="C67" s="174"/>
      <c r="D67" s="174"/>
      <c r="E67" s="174"/>
      <c r="F67" s="174"/>
      <c r="G67" s="174"/>
      <c r="H67" s="174"/>
      <c r="I67" s="174"/>
      <c r="J67" s="174"/>
      <c r="K67" s="1"/>
      <c r="P67" s="22"/>
      <c r="Q67" s="22"/>
      <c r="R67" s="22"/>
      <c r="S67" s="22"/>
    </row>
    <row r="68" spans="1:44" ht="15" customHeight="1">
      <c r="A68" s="174"/>
      <c r="B68" s="174"/>
      <c r="C68" s="174"/>
      <c r="D68" s="174"/>
      <c r="E68" s="174"/>
      <c r="F68" s="174"/>
      <c r="G68" s="174"/>
      <c r="H68" s="174"/>
      <c r="I68" s="174"/>
      <c r="J68" s="174"/>
      <c r="K68" s="1"/>
    </row>
    <row r="77" spans="1:44" outlineLevel="1">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row>
    <row r="78" spans="1:44" outlineLevel="1"/>
    <row r="79" spans="1:44" outlineLevel="1">
      <c r="L79" s="4"/>
    </row>
    <row r="80" spans="1:44" outlineLevel="1"/>
    <row r="81" spans="1:3" outlineLevel="1"/>
    <row r="82" spans="1:3" outlineLevel="1"/>
    <row r="83" spans="1:3" outlineLevel="1"/>
    <row r="84" spans="1:3" outlineLevel="1">
      <c r="A84" s="29"/>
      <c r="B84" s="29"/>
      <c r="C84" s="29"/>
    </row>
    <row r="85" spans="1:3" outlineLevel="1">
      <c r="A85" s="29"/>
      <c r="B85" s="29"/>
      <c r="C85" s="29"/>
    </row>
    <row r="86" spans="1:3" outlineLevel="1">
      <c r="B86" s="29"/>
      <c r="C86" s="29"/>
    </row>
    <row r="87" spans="1:3" outlineLevel="1">
      <c r="A87" s="29"/>
      <c r="B87" s="29"/>
      <c r="C87" s="29"/>
    </row>
    <row r="88" spans="1:3" outlineLevel="1">
      <c r="A88" s="29"/>
      <c r="B88" s="29"/>
      <c r="C88" s="29"/>
    </row>
    <row r="89" spans="1:3" outlineLevel="1">
      <c r="A89" s="29"/>
      <c r="B89" s="29"/>
      <c r="C89" s="29"/>
    </row>
    <row r="90" spans="1:3" outlineLevel="1">
      <c r="A90" s="29"/>
      <c r="B90" s="29"/>
      <c r="C90" s="29"/>
    </row>
    <row r="91" spans="1:3" outlineLevel="1">
      <c r="A91" s="29"/>
      <c r="B91" s="29"/>
      <c r="C91" s="29"/>
    </row>
    <row r="92" spans="1:3" outlineLevel="1">
      <c r="A92" s="29"/>
      <c r="B92" s="29"/>
      <c r="C92" s="29"/>
    </row>
    <row r="93" spans="1:3" outlineLevel="1">
      <c r="A93" s="29"/>
      <c r="B93" s="29"/>
      <c r="C93" s="29"/>
    </row>
    <row r="94" spans="1:3" outlineLevel="1">
      <c r="A94" s="29"/>
      <c r="B94" s="29"/>
      <c r="C94" s="29"/>
    </row>
    <row r="95" spans="1:3" outlineLevel="1">
      <c r="A95" s="29"/>
      <c r="B95" s="29"/>
      <c r="C95" s="29"/>
    </row>
    <row r="96" spans="1:3" outlineLevel="1">
      <c r="A96" s="29"/>
      <c r="B96" s="29"/>
      <c r="C96" s="29"/>
    </row>
    <row r="97" spans="1:13" outlineLevel="1">
      <c r="A97" s="29"/>
      <c r="B97" s="29"/>
      <c r="C97" s="29"/>
    </row>
    <row r="98" spans="1:13" outlineLevel="1">
      <c r="A98" s="29"/>
      <c r="B98" s="29"/>
      <c r="C98" s="29"/>
    </row>
    <row r="99" spans="1:13" outlineLevel="1">
      <c r="A99" s="29"/>
      <c r="B99" s="29"/>
      <c r="C99" s="29"/>
    </row>
    <row r="100" spans="1:13" outlineLevel="1">
      <c r="A100" s="29"/>
      <c r="B100" s="29"/>
      <c r="C100" s="29"/>
    </row>
    <row r="101" spans="1:13" outlineLevel="1">
      <c r="A101" s="29"/>
      <c r="B101" s="29"/>
      <c r="C101" s="29"/>
    </row>
    <row r="102" spans="1:13" outlineLevel="1">
      <c r="A102" s="29"/>
      <c r="B102" s="29"/>
      <c r="C102" s="29"/>
    </row>
    <row r="103" spans="1:13" outlineLevel="1">
      <c r="A103" s="29"/>
      <c r="B103" s="29"/>
      <c r="C103" s="29"/>
    </row>
    <row r="104" spans="1:13" outlineLevel="1">
      <c r="A104" s="29"/>
      <c r="B104" s="29"/>
      <c r="C104" s="29"/>
    </row>
    <row r="105" spans="1:13" outlineLevel="1">
      <c r="A105" s="29"/>
      <c r="B105" s="29"/>
      <c r="C105" s="29"/>
      <c r="M105" s="49"/>
    </row>
    <row r="106" spans="1:13" outlineLevel="1">
      <c r="A106" s="29"/>
      <c r="B106" s="29"/>
      <c r="C106" s="29"/>
      <c r="M106" s="49"/>
    </row>
    <row r="107" spans="1:13" outlineLevel="1">
      <c r="A107" s="29"/>
      <c r="B107" s="29"/>
      <c r="C107" s="29"/>
      <c r="M107" s="49"/>
    </row>
    <row r="108" spans="1:13" outlineLevel="1">
      <c r="A108" s="29"/>
      <c r="B108" s="29"/>
      <c r="C108" s="29"/>
      <c r="M108" s="49"/>
    </row>
    <row r="109" spans="1:13" outlineLevel="1">
      <c r="A109" s="29"/>
      <c r="B109" s="29"/>
      <c r="C109" s="29"/>
      <c r="M109" s="49"/>
    </row>
    <row r="110" spans="1:13" outlineLevel="1">
      <c r="A110" s="29"/>
      <c r="B110" s="29"/>
      <c r="C110" s="29"/>
      <c r="M110" s="49"/>
    </row>
    <row r="111" spans="1:13" outlineLevel="1">
      <c r="A111" s="29"/>
      <c r="B111" s="29"/>
      <c r="C111" s="29"/>
      <c r="M111" s="49"/>
    </row>
    <row r="112" spans="1:13" outlineLevel="1">
      <c r="A112" s="29"/>
      <c r="B112" s="29"/>
      <c r="C112" s="29"/>
      <c r="M112" s="49"/>
    </row>
    <row r="113" spans="1:13" outlineLevel="1">
      <c r="A113" s="29"/>
      <c r="B113" s="29"/>
      <c r="C113" s="29"/>
      <c r="M113" s="49"/>
    </row>
    <row r="114" spans="1:13" outlineLevel="1">
      <c r="A114" s="29"/>
      <c r="B114" s="29"/>
      <c r="C114" s="29"/>
      <c r="M114" s="49"/>
    </row>
    <row r="115" spans="1:13" outlineLevel="1">
      <c r="A115" s="29"/>
      <c r="B115" s="29"/>
      <c r="C115" s="29"/>
      <c r="M115" s="49"/>
    </row>
    <row r="116" spans="1:13" outlineLevel="1">
      <c r="A116" s="29"/>
      <c r="B116" s="29"/>
      <c r="C116" s="29"/>
      <c r="M116" s="49"/>
    </row>
    <row r="117" spans="1:13" outlineLevel="1">
      <c r="A117" s="29"/>
      <c r="B117" s="29"/>
      <c r="C117" s="29"/>
      <c r="M117" s="49"/>
    </row>
    <row r="118" spans="1:13" outlineLevel="1">
      <c r="A118" s="29"/>
      <c r="B118" s="29"/>
      <c r="C118" s="29"/>
      <c r="M118" s="49"/>
    </row>
    <row r="119" spans="1:13" outlineLevel="1">
      <c r="A119" s="29"/>
      <c r="B119" s="29"/>
      <c r="C119" s="29"/>
      <c r="M119" s="49"/>
    </row>
    <row r="120" spans="1:13" outlineLevel="1">
      <c r="A120" s="29"/>
      <c r="B120" s="29"/>
      <c r="C120" s="29"/>
      <c r="M120" s="49"/>
    </row>
    <row r="121" spans="1:13" outlineLevel="1">
      <c r="A121" s="29"/>
      <c r="B121" s="29"/>
      <c r="C121" s="29"/>
      <c r="M121" s="49"/>
    </row>
    <row r="122" spans="1:13" outlineLevel="1">
      <c r="A122" s="29"/>
      <c r="B122" s="29"/>
      <c r="C122" s="29"/>
      <c r="M122" s="49"/>
    </row>
    <row r="123" spans="1:13" outlineLevel="1">
      <c r="M123" s="49"/>
    </row>
    <row r="124" spans="1:13" outlineLevel="1">
      <c r="M124" s="49"/>
    </row>
    <row r="125" spans="1:13" outlineLevel="1">
      <c r="M125" s="49"/>
    </row>
    <row r="126" spans="1:13" outlineLevel="1">
      <c r="M126" s="49"/>
    </row>
    <row r="127" spans="1:13" outlineLevel="1">
      <c r="M127" s="49"/>
    </row>
    <row r="128" spans="1:13" outlineLevel="1">
      <c r="M128" s="49"/>
    </row>
    <row r="129" spans="13:14" outlineLevel="1">
      <c r="M129" s="29"/>
      <c r="N129" s="29"/>
    </row>
    <row r="130" spans="13:14" outlineLevel="1"/>
    <row r="131" spans="13:14" outlineLevel="1"/>
  </sheetData>
  <mergeCells count="1">
    <mergeCell ref="A67:J68"/>
  </mergeCells>
  <pageMargins left="0.7" right="0.7" top="0.75" bottom="0.75" header="0.3" footer="0.3"/>
  <pageSetup scale="59" orientation="portrait" r:id="rId1"/>
  <rowBreaks count="1" manualBreakCount="1">
    <brk id="76" max="18" man="1"/>
  </rowBreaks>
  <colBreaks count="1" manualBreakCount="1">
    <brk id="10" max="65" man="1"/>
  </colBreaks>
  <ignoredErrors>
    <ignoredError sqref="A60" twoDigitTextYear="1"/>
  </ignoredErrors>
</worksheet>
</file>

<file path=xl/worksheets/sheet20.xml><?xml version="1.0" encoding="utf-8"?>
<worksheet xmlns="http://schemas.openxmlformats.org/spreadsheetml/2006/main" xmlns:r="http://schemas.openxmlformats.org/officeDocument/2006/relationships">
  <sheetPr codeName="Sheet24"/>
  <dimension ref="A1:M86"/>
  <sheetViews>
    <sheetView view="pageBreakPreview" zoomScaleSheetLayoutView="100" workbookViewId="0">
      <selection activeCell="O15" sqref="O15"/>
    </sheetView>
  </sheetViews>
  <sheetFormatPr defaultRowHeight="15"/>
  <cols>
    <col min="1" max="1" width="9.140625" style="15"/>
    <col min="2" max="9" width="14.28515625" style="15" customWidth="1"/>
    <col min="10" max="10" width="9.140625" style="15"/>
    <col min="11" max="11" width="0" style="15" hidden="1" customWidth="1"/>
    <col min="12" max="16384" width="9.140625" style="15"/>
  </cols>
  <sheetData>
    <row r="1" spans="1:9" ht="18.75" customHeight="1">
      <c r="A1" s="179" t="s">
        <v>241</v>
      </c>
      <c r="B1" s="179"/>
      <c r="C1" s="179"/>
      <c r="D1" s="179"/>
      <c r="E1" s="179"/>
      <c r="F1" s="179"/>
      <c r="G1" s="179"/>
      <c r="H1" s="179"/>
      <c r="I1" s="179"/>
    </row>
    <row r="2" spans="1:9" ht="30">
      <c r="A2" s="113" t="s">
        <v>39</v>
      </c>
      <c r="B2" s="198" t="s">
        <v>0</v>
      </c>
      <c r="C2" s="198" t="s">
        <v>12</v>
      </c>
      <c r="D2" s="198" t="s">
        <v>16</v>
      </c>
      <c r="E2" s="198" t="s">
        <v>3</v>
      </c>
      <c r="F2" s="198" t="s">
        <v>9</v>
      </c>
      <c r="G2" s="198" t="s">
        <v>11</v>
      </c>
      <c r="H2" s="198" t="s">
        <v>8</v>
      </c>
      <c r="I2" s="198" t="s">
        <v>10</v>
      </c>
    </row>
    <row r="3" spans="1:9">
      <c r="A3" s="9"/>
      <c r="B3" s="13" t="s">
        <v>17</v>
      </c>
      <c r="C3" s="13" t="s">
        <v>18</v>
      </c>
      <c r="D3" s="13" t="s">
        <v>19</v>
      </c>
      <c r="E3" s="13" t="s">
        <v>20</v>
      </c>
      <c r="F3" s="13" t="s">
        <v>21</v>
      </c>
      <c r="G3" s="13" t="s">
        <v>22</v>
      </c>
      <c r="H3" s="13" t="s">
        <v>23</v>
      </c>
      <c r="I3" s="13" t="s">
        <v>24</v>
      </c>
    </row>
    <row r="4" spans="1:9">
      <c r="A4" s="13">
        <v>1981</v>
      </c>
      <c r="B4" s="52">
        <f>'16'!B4/'16'!J4*100</f>
        <v>104.00003637293193</v>
      </c>
      <c r="C4" s="52">
        <f>'16'!C4/'16'!K4*100</f>
        <v>102.01576979784687</v>
      </c>
      <c r="D4" s="52">
        <f>'16'!D4/'16'!L4*100</f>
        <v>99.401134989633462</v>
      </c>
      <c r="E4" s="52">
        <f>'16'!E4/'16'!M4*100</f>
        <v>97.492599973710341</v>
      </c>
      <c r="F4" s="52">
        <f>'16'!F4/'16'!N4*100</f>
        <v>-14690.217518016178</v>
      </c>
      <c r="G4" s="52">
        <f>'16'!G4/'16'!O4*100</f>
        <v>97.569593262277522</v>
      </c>
      <c r="H4" s="52">
        <f>'16'!H4/'16'!P4*100</f>
        <v>-14504.385319779556</v>
      </c>
      <c r="I4" s="52">
        <f>'16'!I4/'16'!Q4*100</f>
        <v>88.937487164266145</v>
      </c>
    </row>
    <row r="5" spans="1:9">
      <c r="A5" s="13">
        <v>1982</v>
      </c>
      <c r="B5" s="52">
        <f>'16'!B5/'16'!J5*100</f>
        <v>102.28563472563602</v>
      </c>
      <c r="C5" s="52">
        <f>'16'!C5/'16'!K5*100</f>
        <v>98.772167735948244</v>
      </c>
      <c r="D5" s="52">
        <f>'16'!D5/'16'!L5*100</f>
        <v>97.582062596275634</v>
      </c>
      <c r="E5" s="52">
        <f>'16'!E5/'16'!M5*100</f>
        <v>94.228531052575789</v>
      </c>
      <c r="F5" s="52">
        <f>'16'!F5/'16'!N5*100</f>
        <v>-15874.832972983595</v>
      </c>
      <c r="G5" s="52">
        <f>'16'!G5/'16'!O5*100</f>
        <v>94.1418004198284</v>
      </c>
      <c r="H5" s="52">
        <f>'16'!H5/'16'!P5*100</f>
        <v>-15659.365324016224</v>
      </c>
      <c r="I5" s="52">
        <f>'16'!I5/'16'!Q5*100</f>
        <v>86.214642034459573</v>
      </c>
    </row>
    <row r="6" spans="1:9">
      <c r="A6" s="13">
        <v>1983</v>
      </c>
      <c r="B6" s="52">
        <f>'16'!B6/'16'!J6*100</f>
        <v>100.2504464171398</v>
      </c>
      <c r="C6" s="52">
        <f>'16'!C6/'16'!K6*100</f>
        <v>98.215023097592308</v>
      </c>
      <c r="D6" s="52">
        <f>'16'!D6/'16'!L6*100</f>
        <v>96.235569836877062</v>
      </c>
      <c r="E6" s="52">
        <f>'16'!E6/'16'!M6*100</f>
        <v>94.267328437751445</v>
      </c>
      <c r="F6" s="52">
        <f>'16'!F6/'16'!N6*100</f>
        <v>-15562.067669382668</v>
      </c>
      <c r="G6" s="52">
        <f>'16'!G6/'16'!O6*100</f>
        <v>94.296816266204914</v>
      </c>
      <c r="H6" s="52">
        <f>'16'!H6/'16'!P6*100</f>
        <v>-15365.208094843223</v>
      </c>
      <c r="I6" s="52">
        <f>'16'!I6/'16'!Q6*100</f>
        <v>84.929317105557061</v>
      </c>
    </row>
    <row r="7" spans="1:9">
      <c r="A7" s="13">
        <v>1984</v>
      </c>
      <c r="B7" s="52">
        <f>'16'!B7/'16'!J7*100</f>
        <v>98.939866226514042</v>
      </c>
      <c r="C7" s="52">
        <f>'16'!C7/'16'!K7*100</f>
        <v>95.800725560616712</v>
      </c>
      <c r="D7" s="52">
        <f>'16'!D7/'16'!L7*100</f>
        <v>94.93118081610649</v>
      </c>
      <c r="E7" s="52">
        <f>'16'!E7/'16'!M7*100</f>
        <v>91.911954575946169</v>
      </c>
      <c r="F7" s="52">
        <f>'16'!F7/'16'!N7*100</f>
        <v>-14870.948065994238</v>
      </c>
      <c r="G7" s="52">
        <f>'16'!G7/'16'!O7*100</f>
        <v>91.977202682232146</v>
      </c>
      <c r="H7" s="52">
        <f>'16'!H7/'16'!P7*100</f>
        <v>-14704.884062984618</v>
      </c>
      <c r="I7" s="52">
        <f>'16'!I7/'16'!Q7*100</f>
        <v>82.948744869878993</v>
      </c>
    </row>
    <row r="8" spans="1:9">
      <c r="A8" s="13">
        <v>1985</v>
      </c>
      <c r="B8" s="52">
        <f>'16'!B8/'16'!J8*100</f>
        <v>99.448185579265257</v>
      </c>
      <c r="C8" s="52">
        <f>'16'!C8/'16'!K8*100</f>
        <v>96.200591588318431</v>
      </c>
      <c r="D8" s="52">
        <f>'16'!D8/'16'!L8*100</f>
        <v>95.7567529285581</v>
      </c>
      <c r="E8" s="52">
        <f>'16'!E8/'16'!M8*100</f>
        <v>92.621469742565424</v>
      </c>
      <c r="F8" s="52">
        <f>'16'!F8/'16'!N8*100</f>
        <v>-14870.605767167279</v>
      </c>
      <c r="G8" s="52">
        <f>'16'!G8/'16'!O8*100</f>
        <v>92.857253492553198</v>
      </c>
      <c r="H8" s="52">
        <f>'16'!H8/'16'!P8*100</f>
        <v>-14758.176902768446</v>
      </c>
      <c r="I8" s="52">
        <f>'16'!I8/'16'!Q8*100</f>
        <v>83.526645373864298</v>
      </c>
    </row>
    <row r="9" spans="1:9">
      <c r="A9" s="13">
        <v>1986</v>
      </c>
      <c r="B9" s="52">
        <f>'16'!B9/'16'!J9*100</f>
        <v>98.110260520029641</v>
      </c>
      <c r="C9" s="52">
        <f>'16'!C9/'16'!K9*100</f>
        <v>94.625556075482876</v>
      </c>
      <c r="D9" s="52">
        <f>'16'!D9/'16'!L9*100</f>
        <v>94.37631645243502</v>
      </c>
      <c r="E9" s="52">
        <f>'16'!E9/'16'!M9*100</f>
        <v>91.018670239567584</v>
      </c>
      <c r="F9" s="52">
        <f>'16'!F9/'16'!N9*100</f>
        <v>-14820.471352219223</v>
      </c>
      <c r="G9" s="52">
        <f>'16'!G9/'16'!O9*100</f>
        <v>91.575662881478266</v>
      </c>
      <c r="H9" s="52">
        <f>'16'!H9/'16'!P9*100</f>
        <v>-14746.957481012283</v>
      </c>
      <c r="I9" s="52">
        <f>'16'!I9/'16'!Q9*100</f>
        <v>81.848061382259871</v>
      </c>
    </row>
    <row r="10" spans="1:9">
      <c r="A10" s="13">
        <v>1987</v>
      </c>
      <c r="B10" s="52">
        <f>'16'!B10/'16'!J10*100</f>
        <v>98.33071831023976</v>
      </c>
      <c r="C10" s="52">
        <f>'16'!C10/'16'!K10*100</f>
        <v>94.590691883808077</v>
      </c>
      <c r="D10" s="52">
        <f>'16'!D10/'16'!L10*100</f>
        <v>94.90151092399249</v>
      </c>
      <c r="E10" s="52">
        <f>'16'!E10/'16'!M10*100</f>
        <v>91.289317585674581</v>
      </c>
      <c r="F10" s="52">
        <f>'16'!F10/'16'!N10*100</f>
        <v>-14557.109424926288</v>
      </c>
      <c r="G10" s="52">
        <f>'16'!G10/'16'!O10*100</f>
        <v>92.119318266143566</v>
      </c>
      <c r="H10" s="52">
        <f>'16'!H10/'16'!P10*100</f>
        <v>-14490.963395468179</v>
      </c>
      <c r="I10" s="52">
        <f>'16'!I10/'16'!Q10*100</f>
        <v>83.657368134485623</v>
      </c>
    </row>
    <row r="11" spans="1:9">
      <c r="A11" s="13">
        <v>1988</v>
      </c>
      <c r="B11" s="52">
        <f>'16'!B11/'16'!J11*100</f>
        <v>98.1365059836303</v>
      </c>
      <c r="C11" s="52">
        <f>'16'!C11/'16'!K11*100</f>
        <v>94.247056564325405</v>
      </c>
      <c r="D11" s="52">
        <f>'16'!D11/'16'!L11*100</f>
        <v>94.49807658505469</v>
      </c>
      <c r="E11" s="52">
        <f>'16'!E11/'16'!M11*100</f>
        <v>90.752590276893912</v>
      </c>
      <c r="F11" s="52">
        <f>'16'!F11/'16'!N11*100</f>
        <v>-14423.210438236032</v>
      </c>
      <c r="G11" s="52">
        <f>'16'!G11/'16'!O11*100</f>
        <v>91.931595656970785</v>
      </c>
      <c r="H11" s="52">
        <f>'16'!H11/'16'!P11*100</f>
        <v>-14346.507630435701</v>
      </c>
      <c r="I11" s="52">
        <f>'16'!I11/'16'!Q11*100</f>
        <v>84.082857431042271</v>
      </c>
    </row>
    <row r="12" spans="1:9">
      <c r="A12" s="13">
        <v>1989</v>
      </c>
      <c r="B12" s="52">
        <f>'16'!B12/'16'!J12*100</f>
        <v>96.108285724141524</v>
      </c>
      <c r="C12" s="52">
        <f>'16'!C12/'16'!K12*100</f>
        <v>93.623188788751648</v>
      </c>
      <c r="D12" s="52">
        <f>'16'!D12/'16'!L12*100</f>
        <v>92.356688158051497</v>
      </c>
      <c r="E12" s="52">
        <f>'16'!E12/'16'!M12*100</f>
        <v>89.965007104035593</v>
      </c>
      <c r="F12" s="52">
        <f>'16'!F12/'16'!N12*100</f>
        <v>-14482.099874233578</v>
      </c>
      <c r="G12" s="52">
        <f>'16'!G12/'16'!O12*100</f>
        <v>91.399698303612752</v>
      </c>
      <c r="H12" s="52">
        <f>'16'!H12/'16'!P12*100</f>
        <v>-14405.810022809485</v>
      </c>
      <c r="I12" s="52">
        <f>'16'!I12/'16'!Q12*100</f>
        <v>82.095229352285997</v>
      </c>
    </row>
    <row r="13" spans="1:9">
      <c r="A13" s="13">
        <v>1990</v>
      </c>
      <c r="B13" s="52">
        <f>'16'!B13/'16'!J13*100</f>
        <v>94.106699124899052</v>
      </c>
      <c r="C13" s="52">
        <f>'16'!C13/'16'!K13*100</f>
        <v>91.62373607799384</v>
      </c>
      <c r="D13" s="52">
        <f>'16'!D13/'16'!L13*100</f>
        <v>90.17219336656143</v>
      </c>
      <c r="E13" s="52">
        <f>'16'!E13/'16'!M13*100</f>
        <v>87.784973915245018</v>
      </c>
      <c r="F13" s="52">
        <f>'16'!F13/'16'!N13*100</f>
        <v>-14967.762214732193</v>
      </c>
      <c r="G13" s="52">
        <f>'16'!G13/'16'!O13*100</f>
        <v>89.304803483703964</v>
      </c>
      <c r="H13" s="52">
        <f>'16'!H13/'16'!P13*100</f>
        <v>-14867.052185682422</v>
      </c>
      <c r="I13" s="52">
        <f>'16'!I13/'16'!Q13*100</f>
        <v>79.494621816399146</v>
      </c>
    </row>
    <row r="14" spans="1:9">
      <c r="A14" s="13">
        <v>1991</v>
      </c>
      <c r="B14" s="52">
        <f>'16'!B14/'16'!J14*100</f>
        <v>92.29319584293124</v>
      </c>
      <c r="C14" s="52">
        <f>'16'!C14/'16'!K14*100</f>
        <v>89.520638134436851</v>
      </c>
      <c r="D14" s="52">
        <f>'16'!D14/'16'!L14*100</f>
        <v>88.772923665545946</v>
      </c>
      <c r="E14" s="52">
        <f>'16'!E14/'16'!M14*100</f>
        <v>86.098944980169264</v>
      </c>
      <c r="F14" s="52">
        <f>'16'!F14/'16'!N14*100</f>
        <v>-15466.727099070264</v>
      </c>
      <c r="G14" s="52">
        <f>'16'!G14/'16'!O14*100</f>
        <v>87.704285622731078</v>
      </c>
      <c r="H14" s="52">
        <f>'16'!H14/'16'!P14*100</f>
        <v>-15377.51485410134</v>
      </c>
      <c r="I14" s="52">
        <f>'16'!I14/'16'!Q14*100</f>
        <v>78.121100567420882</v>
      </c>
    </row>
    <row r="15" spans="1:9">
      <c r="A15" s="13">
        <v>1992</v>
      </c>
      <c r="B15" s="52">
        <f>'16'!B15/'16'!J15*100</f>
        <v>90.074843749367162</v>
      </c>
      <c r="C15" s="52">
        <f>'16'!C15/'16'!K15*100</f>
        <v>87.267474100689398</v>
      </c>
      <c r="D15" s="52">
        <f>'16'!D15/'16'!L15*100</f>
        <v>86.425957133686836</v>
      </c>
      <c r="E15" s="52">
        <f>'16'!E15/'16'!M15*100</f>
        <v>83.725462009378575</v>
      </c>
      <c r="F15" s="52">
        <f>'16'!F15/'16'!N15*100</f>
        <v>-15318.822225395241</v>
      </c>
      <c r="G15" s="52">
        <f>'16'!G15/'16'!O15*100</f>
        <v>85.227752220017933</v>
      </c>
      <c r="H15" s="52">
        <f>'16'!H15/'16'!P15*100</f>
        <v>-15236.904780704874</v>
      </c>
      <c r="I15" s="52">
        <f>'16'!I15/'16'!Q15*100</f>
        <v>75.250699119367752</v>
      </c>
    </row>
    <row r="16" spans="1:9">
      <c r="A16" s="13">
        <v>1993</v>
      </c>
      <c r="B16" s="52">
        <f>'16'!B16/'16'!J16*100</f>
        <v>90.129683571712533</v>
      </c>
      <c r="C16" s="52">
        <f>'16'!C16/'16'!K16*100</f>
        <v>87.313385643814129</v>
      </c>
      <c r="D16" s="52">
        <f>'16'!D16/'16'!L16*100</f>
        <v>86.661477716148184</v>
      </c>
      <c r="E16" s="52">
        <f>'16'!E16/'16'!M16*100</f>
        <v>83.943949527697413</v>
      </c>
      <c r="F16" s="52">
        <f>'16'!F16/'16'!N16*100</f>
        <v>-15129.111890572014</v>
      </c>
      <c r="G16" s="52">
        <f>'16'!G16/'16'!O16*100</f>
        <v>85.586106636175387</v>
      </c>
      <c r="H16" s="52">
        <f>'16'!H16/'16'!P16*100</f>
        <v>-15051.403503716014</v>
      </c>
      <c r="I16" s="52">
        <f>'16'!I16/'16'!Q16*100</f>
        <v>75.130147414250089</v>
      </c>
    </row>
    <row r="17" spans="1:11">
      <c r="A17" s="13">
        <v>1994</v>
      </c>
      <c r="B17" s="52">
        <f>'16'!B17/'16'!J17*100</f>
        <v>90.660651013823582</v>
      </c>
      <c r="C17" s="52">
        <f>'16'!C17/'16'!K17*100</f>
        <v>87.298799194383875</v>
      </c>
      <c r="D17" s="52">
        <f>'16'!D17/'16'!L17*100</f>
        <v>87.124178796409922</v>
      </c>
      <c r="E17" s="52">
        <f>'16'!E17/'16'!M17*100</f>
        <v>83.888419231327589</v>
      </c>
      <c r="F17" s="52">
        <f>'16'!F17/'16'!N17*100</f>
        <v>-14829.697779779173</v>
      </c>
      <c r="G17" s="52">
        <f>'16'!G17/'16'!O17*100</f>
        <v>85.518929705172951</v>
      </c>
      <c r="H17" s="52">
        <f>'16'!H17/'16'!P17*100</f>
        <v>-14777.157018023834</v>
      </c>
      <c r="I17" s="52">
        <f>'16'!I17/'16'!Q17*100</f>
        <v>75.281590162853419</v>
      </c>
    </row>
    <row r="18" spans="1:11">
      <c r="A18" s="13">
        <v>1995</v>
      </c>
      <c r="B18" s="52">
        <f>'16'!B18/'16'!J18*100</f>
        <v>90.79579761215885</v>
      </c>
      <c r="C18" s="52">
        <f>'16'!C18/'16'!K18*100</f>
        <v>87.709466699353953</v>
      </c>
      <c r="D18" s="52">
        <f>'16'!D18/'16'!L18*100</f>
        <v>87.343477231609157</v>
      </c>
      <c r="E18" s="52">
        <f>'16'!E18/'16'!M18*100</f>
        <v>84.370384908295321</v>
      </c>
      <c r="F18" s="52">
        <f>'16'!F18/'16'!N18*100</f>
        <v>-15011.783300419287</v>
      </c>
      <c r="G18" s="52">
        <f>'16'!G18/'16'!O18*100</f>
        <v>86.106445320640461</v>
      </c>
      <c r="H18" s="52">
        <f>'16'!H18/'16'!P18*100</f>
        <v>-14951.217482355565</v>
      </c>
      <c r="I18" s="52">
        <f>'16'!I18/'16'!Q18*100</f>
        <v>76.597507502356834</v>
      </c>
    </row>
    <row r="19" spans="1:11">
      <c r="A19" s="13">
        <v>1996</v>
      </c>
      <c r="B19" s="52">
        <f>'16'!B19/'16'!J19*100</f>
        <v>89.020003853305326</v>
      </c>
      <c r="C19" s="52">
        <f>'16'!C19/'16'!K19*100</f>
        <v>86.075451023511988</v>
      </c>
      <c r="D19" s="52">
        <f>'16'!D19/'16'!L19*100</f>
        <v>85.732895982606763</v>
      </c>
      <c r="E19" s="52">
        <f>'16'!E19/'16'!M19*100</f>
        <v>82.894630558065899</v>
      </c>
      <c r="F19" s="52">
        <f>'16'!F19/'16'!N19*100</f>
        <v>-15085.702516360137</v>
      </c>
      <c r="G19" s="52">
        <f>'16'!G19/'16'!O19*100</f>
        <v>84.362373981689302</v>
      </c>
      <c r="H19" s="52">
        <f>'16'!H19/'16'!P19*100</f>
        <v>-15022.368089921651</v>
      </c>
      <c r="I19" s="52">
        <f>'16'!I19/'16'!Q19*100</f>
        <v>75.356370825125381</v>
      </c>
    </row>
    <row r="20" spans="1:11">
      <c r="A20" s="13">
        <v>1997</v>
      </c>
      <c r="B20" s="52">
        <f>'16'!B20/'16'!J20*100</f>
        <v>89.050299066235269</v>
      </c>
      <c r="C20" s="52">
        <f>'16'!C20/'16'!K20*100</f>
        <v>85.30151212272105</v>
      </c>
      <c r="D20" s="52">
        <f>'16'!D20/'16'!L20*100</f>
        <v>86.052308210980314</v>
      </c>
      <c r="E20" s="52">
        <f>'16'!E20/'16'!M20*100</f>
        <v>82.429421307242464</v>
      </c>
      <c r="F20" s="52">
        <f>'16'!F20/'16'!N20*100</f>
        <v>-15008.064733083702</v>
      </c>
      <c r="G20" s="52">
        <f>'16'!G20/'16'!O20*100</f>
        <v>83.561773506735321</v>
      </c>
      <c r="H20" s="52">
        <f>'16'!H20/'16'!P20*100</f>
        <v>-14964.025650226622</v>
      </c>
      <c r="I20" s="52">
        <f>'16'!I20/'16'!Q20*100</f>
        <v>75.124952479551041</v>
      </c>
    </row>
    <row r="21" spans="1:11">
      <c r="A21" s="13">
        <v>1998</v>
      </c>
      <c r="B21" s="52">
        <f>'16'!B21/'16'!J21*100</f>
        <v>88.827381796785403</v>
      </c>
      <c r="C21" s="52">
        <f>'16'!C21/'16'!K21*100</f>
        <v>83.082352500073128</v>
      </c>
      <c r="D21" s="52">
        <f>'16'!D21/'16'!L21*100</f>
        <v>85.675779302777798</v>
      </c>
      <c r="E21" s="52">
        <f>'16'!E21/'16'!M21*100</f>
        <v>80.135668774264815</v>
      </c>
      <c r="F21" s="52">
        <f>'16'!F21/'16'!N21*100</f>
        <v>-15171.946661783921</v>
      </c>
      <c r="G21" s="52">
        <f>'16'!G21/'16'!O21*100</f>
        <v>81.008658696172958</v>
      </c>
      <c r="H21" s="52">
        <f>'16'!H21/'16'!P21*100</f>
        <v>-15142.254136278845</v>
      </c>
      <c r="I21" s="52">
        <f>'16'!I21/'16'!Q21*100</f>
        <v>72.827936135835387</v>
      </c>
    </row>
    <row r="22" spans="1:11">
      <c r="A22" s="13">
        <v>1999</v>
      </c>
      <c r="B22" s="52">
        <f>'16'!B22/'16'!J22*100</f>
        <v>89.475787324373499</v>
      </c>
      <c r="C22" s="52">
        <f>'16'!C22/'16'!K22*100</f>
        <v>84.326658143032489</v>
      </c>
      <c r="D22" s="52">
        <f>'16'!D22/'16'!L22*100</f>
        <v>86.234862558038117</v>
      </c>
      <c r="E22" s="52">
        <f>'16'!E22/'16'!M22*100</f>
        <v>81.272444920269322</v>
      </c>
      <c r="F22" s="52">
        <f>'16'!F22/'16'!N22*100</f>
        <v>-15243.795303559698</v>
      </c>
      <c r="G22" s="52">
        <f>'16'!G22/'16'!O22*100</f>
        <v>82.811020698047727</v>
      </c>
      <c r="H22" s="52">
        <f>'16'!H22/'16'!P22*100</f>
        <v>-15200.470633450661</v>
      </c>
      <c r="I22" s="52">
        <f>'16'!I22/'16'!Q22*100</f>
        <v>74.145611675462618</v>
      </c>
      <c r="K22" s="24">
        <v>81.065748088868858</v>
      </c>
    </row>
    <row r="23" spans="1:11">
      <c r="A23" s="13">
        <v>2000</v>
      </c>
      <c r="B23" s="52">
        <f>'16'!B23/'16'!J23*100</f>
        <v>90.536639254400598</v>
      </c>
      <c r="C23" s="52">
        <f>'16'!C23/'16'!K23*100</f>
        <v>86.258682428491468</v>
      </c>
      <c r="D23" s="52">
        <f>'16'!D23/'16'!L23*100</f>
        <v>87.858155352248673</v>
      </c>
      <c r="E23" s="52">
        <f>'16'!E23/'16'!M23*100</f>
        <v>83.709689108519825</v>
      </c>
      <c r="F23" s="52">
        <f>'16'!F23/'16'!N23*100</f>
        <v>-15470.506638660325</v>
      </c>
      <c r="G23" s="52">
        <f>'16'!G23/'16'!O23*100</f>
        <v>85.345143121809343</v>
      </c>
      <c r="H23" s="52">
        <f>'16'!H23/'16'!P23*100</f>
        <v>-15411.534409957971</v>
      </c>
      <c r="I23" s="52">
        <f>'16'!I23/'16'!Q23*100</f>
        <v>77.80557177967367</v>
      </c>
      <c r="K23" s="24">
        <v>79.524200396953603</v>
      </c>
    </row>
    <row r="24" spans="1:11">
      <c r="A24" s="13">
        <v>2001</v>
      </c>
      <c r="B24" s="52">
        <f>'16'!B24/'16'!J24*100</f>
        <v>91.194849162495757</v>
      </c>
      <c r="C24" s="52">
        <f>'16'!C24/'16'!K24*100</f>
        <v>86.503682524675355</v>
      </c>
      <c r="D24" s="52">
        <f>'16'!D24/'16'!L24*100</f>
        <v>88.217036676173137</v>
      </c>
      <c r="E24" s="52">
        <f>'16'!E24/'16'!M24*100</f>
        <v>83.683423492382872</v>
      </c>
      <c r="F24" s="52">
        <f>'16'!F24/'16'!N24*100</f>
        <v>-16152.42094594166</v>
      </c>
      <c r="G24" s="52">
        <f>'16'!G24/'16'!O24*100</f>
        <v>85.722366421311506</v>
      </c>
      <c r="H24" s="52">
        <f>'16'!H24/'16'!P24*100</f>
        <v>-16067.77773605441</v>
      </c>
      <c r="I24" s="52">
        <f>'16'!I24/'16'!Q24*100</f>
        <v>77.556476101523103</v>
      </c>
      <c r="K24" s="24">
        <v>87.342694639485671</v>
      </c>
    </row>
    <row r="25" spans="1:11">
      <c r="A25" s="13">
        <v>2002</v>
      </c>
      <c r="B25" s="52">
        <f>'16'!B25/'16'!J25*100</f>
        <v>92.21724089325717</v>
      </c>
      <c r="C25" s="52">
        <f>'16'!C25/'16'!K25*100</f>
        <v>86.885960385667218</v>
      </c>
      <c r="D25" s="52">
        <f>'16'!D25/'16'!L25*100</f>
        <v>89.510540973764634</v>
      </c>
      <c r="E25" s="52">
        <f>'16'!E25/'16'!M25*100</f>
        <v>84.337616956757245</v>
      </c>
      <c r="F25" s="52">
        <f>'16'!F25/'16'!N25*100</f>
        <v>-16237.580988888709</v>
      </c>
      <c r="G25" s="52">
        <f>'16'!G25/'16'!O25*100</f>
        <v>86.400676300977423</v>
      </c>
      <c r="H25" s="52">
        <f>'16'!H25/'16'!P25*100</f>
        <v>-16160.986014015287</v>
      </c>
      <c r="I25" s="52">
        <f>'16'!I25/'16'!Q25*100</f>
        <v>77.748903628177828</v>
      </c>
      <c r="K25" s="24">
        <v>80.684431053042331</v>
      </c>
    </row>
    <row r="26" spans="1:11">
      <c r="A26" s="13">
        <v>2003</v>
      </c>
      <c r="B26" s="52">
        <f>'16'!B26/'16'!J26*100</f>
        <v>91.254753585602145</v>
      </c>
      <c r="C26" s="52">
        <f>'16'!C26/'16'!K26*100</f>
        <v>87.866400120389528</v>
      </c>
      <c r="D26" s="52">
        <f>'16'!D26/'16'!L26*100</f>
        <v>88.557293979104287</v>
      </c>
      <c r="E26" s="52">
        <f>'16'!E26/'16'!M26*100</f>
        <v>85.270283896347181</v>
      </c>
      <c r="F26" s="52">
        <f>'16'!F26/'16'!N26*100</f>
        <v>-16012.415833884839</v>
      </c>
      <c r="G26" s="52">
        <f>'16'!G26/'16'!O26*100</f>
        <v>88.0560898964236</v>
      </c>
      <c r="H26" s="52">
        <f>'16'!H26/'16'!P26*100</f>
        <v>-15919.33522046243</v>
      </c>
      <c r="I26" s="52">
        <f>'16'!I26/'16'!Q26*100</f>
        <v>78.704831293972973</v>
      </c>
      <c r="K26" s="24">
        <v>88.904873801540504</v>
      </c>
    </row>
    <row r="27" spans="1:11">
      <c r="A27" s="13">
        <v>2004</v>
      </c>
      <c r="B27" s="52">
        <f>'16'!B27/'16'!J27*100</f>
        <v>90.596834553974645</v>
      </c>
      <c r="C27" s="52">
        <f>'16'!C27/'16'!K27*100</f>
        <v>88.429023119025857</v>
      </c>
      <c r="D27" s="52">
        <f>'16'!D27/'16'!L27*100</f>
        <v>88.078549401975124</v>
      </c>
      <c r="E27" s="52">
        <f>'16'!E27/'16'!M27*100</f>
        <v>85.971463562990351</v>
      </c>
      <c r="F27" s="52">
        <f>'16'!F27/'16'!N27*100</f>
        <v>-15628.59115124534</v>
      </c>
      <c r="G27" s="52">
        <f>'16'!G27/'16'!O27*100</f>
        <v>88.9570308697473</v>
      </c>
      <c r="H27" s="52">
        <f>'16'!H27/'16'!P27*100</f>
        <v>-15513.558067938658</v>
      </c>
      <c r="I27" s="52">
        <f>'16'!I27/'16'!Q27*100</f>
        <v>79.833263667199532</v>
      </c>
      <c r="K27" s="24">
        <v>78.913238100107634</v>
      </c>
    </row>
    <row r="28" spans="1:11">
      <c r="A28" s="13">
        <v>2005</v>
      </c>
      <c r="B28" s="52">
        <f>'16'!B28/'16'!J28*100</f>
        <v>90.309236134262321</v>
      </c>
      <c r="C28" s="52">
        <f>'16'!C28/'16'!K28*100</f>
        <v>88.824950029108379</v>
      </c>
      <c r="D28" s="52">
        <f>'16'!D28/'16'!L28*100</f>
        <v>87.936297062108181</v>
      </c>
      <c r="E28" s="52">
        <f>'16'!E28/'16'!M28*100</f>
        <v>86.492732911271546</v>
      </c>
      <c r="F28" s="52">
        <f>'16'!F28/'16'!N28*100</f>
        <v>-15642.173465956046</v>
      </c>
      <c r="G28" s="52">
        <f>'16'!G28/'16'!O28*100</f>
        <v>89.503970096228102</v>
      </c>
      <c r="H28" s="52">
        <f>'16'!H28/'16'!P28*100</f>
        <v>-15534.748364135388</v>
      </c>
      <c r="I28" s="52">
        <f>'16'!I28/'16'!Q28*100</f>
        <v>81.106557714451569</v>
      </c>
      <c r="K28" s="24">
        <v>86.970799523559535</v>
      </c>
    </row>
    <row r="29" spans="1:11">
      <c r="A29" s="13">
        <v>2006</v>
      </c>
      <c r="B29" s="52">
        <f>'16'!B29/'16'!J29*100</f>
        <v>90.065781858507663</v>
      </c>
      <c r="C29" s="52">
        <f>'16'!C29/'16'!K29*100</f>
        <v>87.897989344559349</v>
      </c>
      <c r="D29" s="52">
        <f>'16'!D29/'16'!L29*100</f>
        <v>88.310346065834707</v>
      </c>
      <c r="E29" s="52">
        <f>'16'!E29/'16'!M29*100</f>
        <v>86.189285028143999</v>
      </c>
      <c r="F29" s="52">
        <f>'16'!F29/'16'!N29*100</f>
        <v>-15753.153947594848</v>
      </c>
      <c r="G29" s="52">
        <f>'16'!G29/'16'!O29*100</f>
        <v>88.306930844313342</v>
      </c>
      <c r="H29" s="52">
        <f>'16'!H29/'16'!P29*100</f>
        <v>-15687.26223597078</v>
      </c>
      <c r="I29" s="52">
        <f>'16'!I29/'16'!Q29*100</f>
        <v>81.864344201494006</v>
      </c>
    </row>
    <row r="30" spans="1:11">
      <c r="A30" s="13">
        <v>2007</v>
      </c>
      <c r="B30" s="52">
        <f>'16'!B30/'16'!J30*100</f>
        <v>90.22341275190206</v>
      </c>
      <c r="C30" s="52">
        <f>'16'!C30/'16'!K30*100</f>
        <v>90.203468360600411</v>
      </c>
      <c r="D30" s="52">
        <f>'16'!D30/'16'!L30*100</f>
        <v>88.229881888849505</v>
      </c>
      <c r="E30" s="52">
        <f>'16'!E30/'16'!M30*100</f>
        <v>88.209568459362231</v>
      </c>
      <c r="F30" s="52">
        <f>'16'!F30/'16'!N30*100</f>
        <v>-15997.064348831151</v>
      </c>
      <c r="G30" s="52">
        <f>'16'!G30/'16'!O30*100</f>
        <v>90.927481707214824</v>
      </c>
      <c r="H30" s="52">
        <f>'16'!H30/'16'!P30*100</f>
        <v>-15856.954440521284</v>
      </c>
      <c r="I30" s="52">
        <f>'16'!I30/'16'!Q30*100</f>
        <v>82.356656780657744</v>
      </c>
    </row>
    <row r="31" spans="1:11">
      <c r="A31" s="13">
        <v>2008</v>
      </c>
      <c r="B31" s="52">
        <f>'16'!B31/'16'!J31*100</f>
        <v>91.145000115978377</v>
      </c>
      <c r="C31" s="52">
        <f>'16'!C31/'16'!K31*100</f>
        <v>93.488558077743861</v>
      </c>
      <c r="D31" s="52">
        <f>'16'!D31/'16'!L31*100</f>
        <v>88.880588189048211</v>
      </c>
      <c r="E31" s="52">
        <f>'16'!E31/'16'!M31*100</f>
        <v>91.154400495430025</v>
      </c>
      <c r="F31" s="52">
        <f>'16'!F31/'16'!N31*100</f>
        <v>-16885.084104604044</v>
      </c>
      <c r="G31" s="52">
        <f>'16'!G31/'16'!O31*100</f>
        <v>94.402993647833085</v>
      </c>
      <c r="H31" s="52">
        <f>'16'!H31/'16'!P31*100</f>
        <v>-16679.702173037302</v>
      </c>
      <c r="I31" s="52">
        <f>'16'!I31/'16'!Q31*100</f>
        <v>84.746892235429769</v>
      </c>
    </row>
    <row r="32" spans="1:11">
      <c r="A32" s="13">
        <v>2009</v>
      </c>
      <c r="B32" s="52">
        <f>'16'!B32/'16'!J32*100</f>
        <v>90.542091512681424</v>
      </c>
      <c r="C32" s="52">
        <f>'16'!C32/'16'!K32*100</f>
        <v>89.805734679130438</v>
      </c>
      <c r="D32" s="52">
        <f>'16'!D32/'16'!L32*100</f>
        <v>88.135482254213343</v>
      </c>
      <c r="E32" s="52">
        <f>'16'!E32/'16'!M32*100</f>
        <v>87.407755106031573</v>
      </c>
      <c r="F32" s="52">
        <f>'16'!F32/'16'!N32*100</f>
        <v>-17933.710446515743</v>
      </c>
      <c r="G32" s="52">
        <f>'16'!G32/'16'!O32*100</f>
        <v>89.742628099719539</v>
      </c>
      <c r="H32" s="52">
        <f>'16'!H32/'16'!P32*100</f>
        <v>-17730.734788681042</v>
      </c>
      <c r="I32" s="52">
        <f>'16'!I32/'16'!Q32*100</f>
        <v>79.094290622957558</v>
      </c>
    </row>
    <row r="33" spans="1:9">
      <c r="A33" s="13">
        <v>2010</v>
      </c>
      <c r="B33" s="52">
        <f>'16'!B33/'16'!J33*100</f>
        <v>90.738692573423108</v>
      </c>
      <c r="C33" s="52">
        <f>'16'!C33/'16'!K33*100</f>
        <v>90.740465769521876</v>
      </c>
      <c r="D33" s="52">
        <f>'16'!D33/'16'!L33*100</f>
        <v>87.815788389765572</v>
      </c>
      <c r="E33" s="52">
        <f>'16'!E33/'16'!M33*100</f>
        <v>87.812309570430159</v>
      </c>
      <c r="F33" s="52">
        <f>'16'!F33/'16'!N33*100</f>
        <v>-17435.497468307723</v>
      </c>
      <c r="G33" s="52">
        <f>'16'!G33/'16'!O33*100</f>
        <v>91.267126960894515</v>
      </c>
      <c r="H33" s="52">
        <f>'16'!H33/'16'!P33*100</f>
        <v>-17173.183793652948</v>
      </c>
      <c r="I33" s="52">
        <f>'16'!I33/'16'!Q33*100</f>
        <v>80.803411639260332</v>
      </c>
    </row>
    <row r="34" spans="1:9">
      <c r="A34" s="13">
        <v>2011</v>
      </c>
      <c r="B34" s="52">
        <f>'16'!B34/'16'!J34*100</f>
        <v>91.914592487779856</v>
      </c>
      <c r="C34" s="52">
        <f>'16'!C34/'16'!K34*100</f>
        <v>91.999062796549637</v>
      </c>
      <c r="D34" s="52">
        <f>'16'!D34/'16'!L34*100</f>
        <v>88.852147777182012</v>
      </c>
      <c r="E34" s="52">
        <f>'16'!E34/'16'!M34*100</f>
        <v>88.938377348216335</v>
      </c>
      <c r="F34" s="52">
        <f>'16'!F34/'16'!N34*100</f>
        <v>-17482.390696632414</v>
      </c>
      <c r="G34" s="52">
        <f>'16'!G34/'16'!O34*100</f>
        <v>92.866502918986285</v>
      </c>
      <c r="H34" s="52">
        <f>'16'!H34/'16'!P34*100</f>
        <v>-17177.606050250506</v>
      </c>
      <c r="I34" s="52">
        <f>'16'!I34/'16'!Q34*100</f>
        <v>83.04157909561664</v>
      </c>
    </row>
    <row r="35" spans="1:9">
      <c r="A35" s="13">
        <v>2012</v>
      </c>
      <c r="B35" s="52">
        <f>'16'!B35/'16'!J35*100</f>
        <v>91.154485575776178</v>
      </c>
      <c r="C35" s="52">
        <f>'16'!C35/'16'!K35*100</f>
        <v>89.816088913965686</v>
      </c>
      <c r="D35" s="52">
        <f>'16'!D35/'16'!L35*100</f>
        <v>88.295956200674922</v>
      </c>
      <c r="E35" s="52">
        <f>'16'!E35/'16'!M35*100</f>
        <v>87.017626999054272</v>
      </c>
      <c r="F35" s="52">
        <f>'16'!F35/'16'!N35*100</f>
        <v>-17499.51723672785</v>
      </c>
      <c r="G35" s="52">
        <f>'16'!G35/'16'!O35*100</f>
        <v>90.191557104793205</v>
      </c>
      <c r="H35" s="52">
        <f>'16'!H35/'16'!P35*100</f>
        <v>-17211.637510082957</v>
      </c>
      <c r="I35" s="52">
        <f>'16'!I35/'16'!Q35*100</f>
        <v>81.774072567141431</v>
      </c>
    </row>
    <row r="36" spans="1:9" s="42" customFormat="1">
      <c r="A36" s="13">
        <v>2013</v>
      </c>
      <c r="B36" s="52">
        <f>'16'!B36/'16'!J36*100</f>
        <v>91.250571012984224</v>
      </c>
      <c r="C36" s="52">
        <f>'16'!C36/'16'!K36*100</f>
        <v>90.411222043009104</v>
      </c>
      <c r="D36" s="52">
        <f>'16'!D36/'16'!L36*100</f>
        <v>88.666517019817405</v>
      </c>
      <c r="E36" s="52">
        <f>'16'!E36/'16'!M36*100</f>
        <v>87.861720307245264</v>
      </c>
      <c r="F36" s="52">
        <f>'16'!F36/'16'!N36*100</f>
        <v>-17784.186795316302</v>
      </c>
      <c r="G36" s="52">
        <f>'16'!G36/'16'!O36*100</f>
        <v>90.890642262990795</v>
      </c>
      <c r="H36" s="52">
        <f>'16'!H36/'16'!P36*100</f>
        <v>-17502.804389586949</v>
      </c>
      <c r="I36" s="52">
        <f>'16'!I36/'16'!Q36*100</f>
        <v>81.894778683340192</v>
      </c>
    </row>
    <row r="37" spans="1:9" s="42" customFormat="1">
      <c r="A37" s="13">
        <v>2014</v>
      </c>
      <c r="B37" s="52">
        <f>'16'!B37/'16'!J37*100</f>
        <v>91.352207561069449</v>
      </c>
      <c r="C37" s="52">
        <f>'16'!C37/'16'!K37*100</f>
        <v>89.519781522355984</v>
      </c>
      <c r="D37" s="52">
        <f>'16'!D37/'16'!L37*100</f>
        <v>88.66691029339016</v>
      </c>
      <c r="E37" s="52">
        <f>'16'!E37/'16'!M37*100</f>
        <v>86.908401111954703</v>
      </c>
      <c r="F37" s="52">
        <f>'16'!F37/'16'!N37*100</f>
        <v>-17515.381653058859</v>
      </c>
      <c r="G37" s="52">
        <f>'16'!G37/'16'!O37*100</f>
        <v>89.970720595019486</v>
      </c>
      <c r="H37" s="52">
        <f>'16'!H37/'16'!P37*100</f>
        <v>-17234.801412615914</v>
      </c>
      <c r="I37" s="52">
        <f>'16'!I37/'16'!Q37*100</f>
        <v>81.5830304070073</v>
      </c>
    </row>
    <row r="38" spans="1:9" s="42" customFormat="1">
      <c r="A38" s="13">
        <v>2015</v>
      </c>
      <c r="B38" s="52">
        <f>'16'!B38/'16'!J38*100</f>
        <v>89.333274708182572</v>
      </c>
      <c r="C38" s="52">
        <f>'16'!C38/'16'!K38*100</f>
        <v>85.677892204132064</v>
      </c>
      <c r="D38" s="52">
        <f>'16'!D38/'16'!L38*100</f>
        <v>86.882243922459111</v>
      </c>
      <c r="E38" s="52">
        <f>'16'!E38/'16'!M38*100</f>
        <v>83.341655459407477</v>
      </c>
      <c r="F38" s="52">
        <f>'16'!F38/'16'!N38*100</f>
        <v>-17501.862453364964</v>
      </c>
      <c r="G38" s="52">
        <f>'16'!G38/'16'!O38*100</f>
        <v>85.112256178140626</v>
      </c>
      <c r="H38" s="52">
        <f>'16'!H38/'16'!P38*100</f>
        <v>-17245.26310880225</v>
      </c>
      <c r="I38" s="52">
        <f>'16'!I38/'16'!Q38*100</f>
        <v>76.511415402274025</v>
      </c>
    </row>
    <row r="39" spans="1:9" s="42" customFormat="1">
      <c r="A39" s="13">
        <v>2016</v>
      </c>
      <c r="B39" s="52">
        <f>'16'!B39/'16'!J39*100</f>
        <v>88.634789193587324</v>
      </c>
      <c r="C39" s="52">
        <f>'16'!C39/'16'!K39*100</f>
        <v>85.268902060105802</v>
      </c>
      <c r="D39" s="52">
        <f>'16'!D39/'16'!L39*100</f>
        <v>86.569773758990493</v>
      </c>
      <c r="E39" s="52">
        <f>'16'!E39/'16'!M39*100</f>
        <v>83.288884263589438</v>
      </c>
      <c r="F39" s="52">
        <f>'16'!F39/'16'!N39*100</f>
        <v>-17304.074005179024</v>
      </c>
      <c r="G39" s="52">
        <f>'16'!G39/'16'!O39*100</f>
        <v>84.812552446037273</v>
      </c>
      <c r="H39" s="52">
        <f>'16'!H39/'16'!P39*100</f>
        <v>-17068.188488799147</v>
      </c>
      <c r="I39" s="52">
        <f>'16'!I39/'16'!Q39*100</f>
        <v>75.594272715161551</v>
      </c>
    </row>
    <row r="40" spans="1:9" s="42" customFormat="1">
      <c r="A40" s="13">
        <v>2017</v>
      </c>
      <c r="B40" s="52">
        <f>'16'!B40/'16'!J40*100</f>
        <v>88.795786557626045</v>
      </c>
      <c r="C40" s="52">
        <f>'16'!C40/'16'!K40*100</f>
        <v>86.304692871409031</v>
      </c>
      <c r="D40" s="52">
        <f>'16'!D40/'16'!L40*100</f>
        <v>86.74083305145075</v>
      </c>
      <c r="E40" s="52">
        <f>'16'!E40/'16'!M40*100</f>
        <v>84.314804459522549</v>
      </c>
      <c r="F40" s="52">
        <f>'16'!F40/'16'!N40*100</f>
        <v>-16675.31842432651</v>
      </c>
      <c r="G40" s="52">
        <f>'16'!G40/'16'!O40*100</f>
        <v>86.829183034396493</v>
      </c>
      <c r="H40" s="52">
        <f>'16'!H40/'16'!P40*100</f>
        <v>-16426.093177473926</v>
      </c>
      <c r="I40" s="52">
        <f>'16'!I40/'16'!Q40*100</f>
        <v>77.326534859535315</v>
      </c>
    </row>
    <row r="41" spans="1:9" s="42" customFormat="1">
      <c r="A41" s="13">
        <v>2018</v>
      </c>
      <c r="B41" s="52">
        <f>'16'!B41/'16'!J41*100</f>
        <v>87.290200249939133</v>
      </c>
      <c r="C41" s="52">
        <f>'16'!C41/'16'!K41*100</f>
        <v>85.359116411748744</v>
      </c>
      <c r="D41" s="52">
        <f>'16'!D41/'16'!L41*100</f>
        <v>85.048757480551259</v>
      </c>
      <c r="E41" s="52">
        <f>'16'!E41/'16'!M41*100</f>
        <v>83.169853137255203</v>
      </c>
      <c r="F41" s="52">
        <f>'16'!F41/'16'!N41*100</f>
        <v>-16474.077837685509</v>
      </c>
      <c r="G41" s="52">
        <f>'16'!G41/'16'!O41*100</f>
        <v>85.99777133006009</v>
      </c>
      <c r="H41" s="52">
        <f>'16'!H41/'16'!P41*100</f>
        <v>-16218.324033019609</v>
      </c>
      <c r="I41" s="52">
        <f>'16'!I41/'16'!Q41*100</f>
        <v>75.811522592586044</v>
      </c>
    </row>
    <row r="42" spans="1:9" s="42" customFormat="1">
      <c r="A42" s="21"/>
      <c r="B42" s="52"/>
      <c r="C42" s="52"/>
      <c r="D42" s="52"/>
      <c r="E42" s="52"/>
      <c r="F42" s="52"/>
      <c r="G42" s="52"/>
      <c r="H42" s="52"/>
      <c r="I42" s="52"/>
    </row>
    <row r="43" spans="1:9">
      <c r="A43" s="5" t="s">
        <v>139</v>
      </c>
      <c r="B43" s="5"/>
      <c r="C43" s="41"/>
      <c r="D43" s="41"/>
      <c r="E43" s="41"/>
      <c r="F43" s="41"/>
      <c r="G43" s="41"/>
      <c r="H43" s="41"/>
      <c r="I43" s="45"/>
    </row>
    <row r="44" spans="1:9">
      <c r="A44" s="66" t="s">
        <v>138</v>
      </c>
      <c r="B44" s="57">
        <f t="shared" ref="B44:I44" si="0">100*((B12/B4)^(1/8)-1)</f>
        <v>-0.98159703575618762</v>
      </c>
      <c r="C44" s="57">
        <f t="shared" si="0"/>
        <v>-1.0673790338368017</v>
      </c>
      <c r="D44" s="57">
        <f t="shared" si="0"/>
        <v>-0.91460934643233793</v>
      </c>
      <c r="E44" s="57">
        <f t="shared" si="0"/>
        <v>-0.99941844532630553</v>
      </c>
      <c r="F44" s="57">
        <f t="shared" si="0"/>
        <v>-0.17819606583118208</v>
      </c>
      <c r="G44" s="57">
        <f t="shared" si="0"/>
        <v>-0.81322184933846353</v>
      </c>
      <c r="H44" s="57">
        <f t="shared" si="0"/>
        <v>-8.5206685150218675E-2</v>
      </c>
      <c r="I44" s="58">
        <f t="shared" si="0"/>
        <v>-0.99568273486089209</v>
      </c>
    </row>
    <row r="45" spans="1:9">
      <c r="A45" s="67" t="s">
        <v>27</v>
      </c>
      <c r="B45" s="10">
        <f t="shared" ref="B45:I45" si="1">100*((B23/B12)^(1/11)-1)</f>
        <v>-0.54144622778504736</v>
      </c>
      <c r="C45" s="10">
        <f t="shared" si="1"/>
        <v>-0.74202763974384744</v>
      </c>
      <c r="D45" s="10">
        <f t="shared" si="1"/>
        <v>-0.45292104916496712</v>
      </c>
      <c r="E45" s="10">
        <f t="shared" si="1"/>
        <v>-0.65300454352664739</v>
      </c>
      <c r="F45" s="10">
        <f t="shared" si="1"/>
        <v>0.60200497766278449</v>
      </c>
      <c r="G45" s="10">
        <f t="shared" si="1"/>
        <v>-0.62114139507433164</v>
      </c>
      <c r="H45" s="10">
        <f t="shared" si="1"/>
        <v>0.61538226894914949</v>
      </c>
      <c r="I45" s="11">
        <f t="shared" si="1"/>
        <v>-0.48669235661876753</v>
      </c>
    </row>
    <row r="46" spans="1:9">
      <c r="A46" s="67" t="s">
        <v>28</v>
      </c>
      <c r="B46" s="10">
        <f t="shared" ref="B46:I46" si="2">100*((B31/B23)^(1/8)-1)</f>
        <v>8.3747846977244578E-2</v>
      </c>
      <c r="C46" s="10">
        <f t="shared" si="2"/>
        <v>1.0111824779576617</v>
      </c>
      <c r="D46" s="10">
        <f t="shared" si="2"/>
        <v>0.14473113554482886</v>
      </c>
      <c r="E46" s="10">
        <f t="shared" si="2"/>
        <v>1.0706919014572103</v>
      </c>
      <c r="F46" s="10">
        <f t="shared" si="2"/>
        <v>1.0996929186029458</v>
      </c>
      <c r="G46" s="10">
        <f t="shared" si="2"/>
        <v>1.2688479587366741</v>
      </c>
      <c r="H46" s="10">
        <f t="shared" si="2"/>
        <v>0.99335540186837878</v>
      </c>
      <c r="I46" s="11">
        <f t="shared" si="2"/>
        <v>1.0739260101032322</v>
      </c>
    </row>
    <row r="47" spans="1:9" s="42" customFormat="1">
      <c r="A47" s="68" t="s">
        <v>152</v>
      </c>
      <c r="B47" s="59">
        <f>100*((B31/B4)^(1/27)-1)</f>
        <v>-0.48747316900136228</v>
      </c>
      <c r="C47" s="59">
        <f t="shared" ref="C47:I47" si="3">100*((C31/C4)^(1/27)-1)</f>
        <v>-0.32276817213748865</v>
      </c>
      <c r="D47" s="59">
        <f t="shared" si="3"/>
        <v>-0.41347530467761295</v>
      </c>
      <c r="E47" s="59">
        <f t="shared" si="3"/>
        <v>-0.2486595876417641</v>
      </c>
      <c r="F47" s="59">
        <f t="shared" si="3"/>
        <v>0.51706864499532212</v>
      </c>
      <c r="G47" s="59">
        <f t="shared" si="3"/>
        <v>-0.12212209396564866</v>
      </c>
      <c r="H47" s="59">
        <f t="shared" si="3"/>
        <v>0.51890277930179973</v>
      </c>
      <c r="I47" s="60">
        <f t="shared" si="3"/>
        <v>-0.17859830724958892</v>
      </c>
    </row>
    <row r="48" spans="1:9">
      <c r="A48" s="21"/>
      <c r="B48" s="21"/>
      <c r="C48" s="41"/>
      <c r="D48" s="41"/>
      <c r="E48" s="41"/>
      <c r="F48" s="41"/>
      <c r="G48" s="41"/>
      <c r="H48" s="41"/>
      <c r="I48" s="41"/>
    </row>
    <row r="49" spans="1:13">
      <c r="A49" s="69" t="s">
        <v>140</v>
      </c>
      <c r="B49" s="70"/>
      <c r="C49" s="41"/>
      <c r="D49" s="41"/>
      <c r="E49" s="41"/>
      <c r="F49" s="41"/>
      <c r="G49" s="41"/>
      <c r="H49" s="41"/>
      <c r="I49" s="41"/>
    </row>
    <row r="50" spans="1:13" s="42" customFormat="1">
      <c r="A50" s="66" t="s">
        <v>202</v>
      </c>
      <c r="B50" s="72">
        <f>((B41/B4)^(1/37)-1)*100</f>
        <v>-0.47226790252362649</v>
      </c>
      <c r="C50" s="72">
        <f t="shared" ref="C50:I50" si="4">((C41/C4)^(1/37)-1)*100</f>
        <v>-0.48062547497588204</v>
      </c>
      <c r="D50" s="72">
        <f t="shared" si="4"/>
        <v>-0.4205693965728563</v>
      </c>
      <c r="E50" s="72">
        <f t="shared" si="4"/>
        <v>-0.42851582702571056</v>
      </c>
      <c r="F50" s="72">
        <f t="shared" si="4"/>
        <v>0.31022698965583739</v>
      </c>
      <c r="G50" s="72">
        <f t="shared" si="4"/>
        <v>-0.34061997295302682</v>
      </c>
      <c r="H50" s="72">
        <f t="shared" si="4"/>
        <v>0.30232276984882844</v>
      </c>
      <c r="I50" s="72">
        <f t="shared" si="4"/>
        <v>-0.4306469030502913</v>
      </c>
      <c r="M50" s="9"/>
    </row>
    <row r="51" spans="1:13">
      <c r="A51" s="67" t="s">
        <v>200</v>
      </c>
      <c r="B51" s="73">
        <f>((B41/B23)^(1/18)-1)*100</f>
        <v>-0.20266335767338273</v>
      </c>
      <c r="C51" s="73">
        <f t="shared" ref="C51:I51" si="5">((C41/C23)^(1/18)-1)*100</f>
        <v>-5.8224493280023548E-2</v>
      </c>
      <c r="D51" s="73">
        <f t="shared" si="5"/>
        <v>-0.18038673812692529</v>
      </c>
      <c r="E51" s="73">
        <f t="shared" si="5"/>
        <v>-3.5936822782389743E-2</v>
      </c>
      <c r="F51" s="73">
        <f t="shared" si="5"/>
        <v>0.34979196915492228</v>
      </c>
      <c r="G51" s="73">
        <f t="shared" si="5"/>
        <v>4.2330284274272323E-2</v>
      </c>
      <c r="H51" s="73">
        <f t="shared" si="5"/>
        <v>0.28387716714841638</v>
      </c>
      <c r="I51" s="73">
        <f t="shared" si="5"/>
        <v>-0.14413353400944962</v>
      </c>
    </row>
    <row r="52" spans="1:13">
      <c r="A52" s="79" t="s">
        <v>201</v>
      </c>
      <c r="B52" s="74">
        <f>((B41/B31)^(1/10)-1)*100</f>
        <v>-0.4312020770110947</v>
      </c>
      <c r="C52" s="74">
        <f t="shared" ref="C52:I52" si="6">((C41/C31)^(1/10)-1)*100</f>
        <v>-0.90559258200403336</v>
      </c>
      <c r="D52" s="74">
        <f t="shared" si="6"/>
        <v>-0.43972092056414613</v>
      </c>
      <c r="E52" s="74">
        <f t="shared" si="6"/>
        <v>-0.91250950408008347</v>
      </c>
      <c r="F52" s="74">
        <f t="shared" si="6"/>
        <v>-0.24612191673495376</v>
      </c>
      <c r="G52" s="74">
        <f t="shared" si="6"/>
        <v>-0.92817961004115768</v>
      </c>
      <c r="H52" s="74">
        <f t="shared" si="6"/>
        <v>-0.28011519597045398</v>
      </c>
      <c r="I52" s="74">
        <f t="shared" si="6"/>
        <v>-1.1080037323918046</v>
      </c>
    </row>
    <row r="53" spans="1:13">
      <c r="C53" s="9"/>
      <c r="F53" s="9"/>
      <c r="H53" s="9"/>
    </row>
    <row r="54" spans="1:13">
      <c r="A54" s="174" t="s">
        <v>156</v>
      </c>
      <c r="B54" s="174"/>
      <c r="C54" s="174"/>
      <c r="D54" s="174"/>
      <c r="E54" s="174"/>
      <c r="F54" s="174"/>
      <c r="G54" s="174"/>
      <c r="H54" s="174"/>
      <c r="I54" s="174"/>
    </row>
    <row r="55" spans="1:13">
      <c r="A55" s="174" t="s">
        <v>157</v>
      </c>
      <c r="B55" s="174"/>
      <c r="C55" s="174"/>
      <c r="D55" s="174"/>
      <c r="E55" s="174"/>
      <c r="F55" s="174"/>
      <c r="G55" s="174"/>
      <c r="H55" s="174"/>
      <c r="I55" s="174"/>
    </row>
    <row r="56" spans="1:13">
      <c r="A56" s="197" t="s">
        <v>117</v>
      </c>
      <c r="B56" s="197"/>
      <c r="C56" s="197"/>
      <c r="D56" s="197"/>
      <c r="E56" s="197"/>
      <c r="F56" s="197"/>
      <c r="G56" s="197"/>
      <c r="H56" s="197"/>
      <c r="I56" s="197"/>
    </row>
    <row r="61" spans="1:13" s="42" customFormat="1">
      <c r="A61" s="15"/>
      <c r="B61" s="15"/>
      <c r="C61" s="15"/>
      <c r="D61" s="15"/>
      <c r="E61" s="15"/>
      <c r="F61" s="15"/>
      <c r="G61" s="15"/>
      <c r="H61" s="15"/>
      <c r="I61" s="15"/>
    </row>
    <row r="62" spans="1:13" s="42" customFormat="1">
      <c r="A62" s="15"/>
      <c r="B62" s="15"/>
      <c r="C62" s="15"/>
      <c r="D62" s="15"/>
      <c r="E62" s="15"/>
      <c r="F62" s="15"/>
      <c r="G62" s="15"/>
      <c r="H62" s="15"/>
      <c r="I62" s="15"/>
    </row>
    <row r="63" spans="1:13" s="42" customFormat="1">
      <c r="A63" s="15"/>
      <c r="B63" s="15"/>
      <c r="C63" s="15"/>
      <c r="D63" s="15"/>
      <c r="E63" s="15"/>
      <c r="F63" s="15"/>
      <c r="G63" s="15"/>
      <c r="H63" s="15"/>
      <c r="I63" s="15"/>
    </row>
    <row r="64" spans="1:13" s="42" customFormat="1">
      <c r="A64" s="15"/>
      <c r="B64" s="15"/>
      <c r="C64" s="15"/>
      <c r="D64" s="15"/>
      <c r="E64" s="15"/>
      <c r="F64" s="15"/>
      <c r="G64" s="15"/>
      <c r="H64" s="15"/>
      <c r="I64" s="15"/>
      <c r="J64" s="9"/>
    </row>
    <row r="65" spans="1:10" s="42" customFormat="1">
      <c r="A65" s="15"/>
      <c r="B65" s="15"/>
      <c r="C65" s="15"/>
      <c r="D65" s="15"/>
      <c r="E65" s="15"/>
      <c r="F65" s="15"/>
      <c r="G65" s="15"/>
      <c r="H65" s="15"/>
      <c r="I65" s="15"/>
    </row>
    <row r="66" spans="1:10" s="42" customFormat="1">
      <c r="A66" s="15"/>
      <c r="B66" s="15"/>
      <c r="C66" s="15"/>
      <c r="D66" s="15"/>
      <c r="E66" s="15"/>
      <c r="F66" s="15"/>
      <c r="G66" s="15"/>
      <c r="H66" s="15"/>
      <c r="I66" s="15"/>
    </row>
    <row r="67" spans="1:10" s="42" customFormat="1">
      <c r="A67" s="15"/>
      <c r="B67" s="15"/>
      <c r="C67" s="15"/>
      <c r="D67" s="15"/>
      <c r="E67" s="15"/>
      <c r="F67" s="15"/>
      <c r="G67" s="15"/>
      <c r="H67" s="15"/>
      <c r="I67" s="15"/>
    </row>
    <row r="68" spans="1:10" s="42" customFormat="1">
      <c r="A68" s="15"/>
      <c r="B68" s="15"/>
      <c r="C68" s="15"/>
      <c r="D68" s="15"/>
      <c r="E68" s="15"/>
      <c r="F68" s="15"/>
      <c r="G68" s="15"/>
      <c r="H68" s="15"/>
      <c r="I68" s="15"/>
    </row>
    <row r="69" spans="1:10" s="42" customFormat="1">
      <c r="A69" s="15"/>
      <c r="B69" s="15"/>
      <c r="C69" s="15"/>
      <c r="D69" s="15"/>
      <c r="E69" s="15"/>
      <c r="F69" s="15"/>
      <c r="G69" s="15"/>
      <c r="H69" s="15"/>
      <c r="I69" s="15"/>
    </row>
    <row r="70" spans="1:10" s="42" customFormat="1">
      <c r="A70" s="15"/>
      <c r="B70" s="15"/>
      <c r="C70" s="15"/>
      <c r="D70" s="15"/>
      <c r="E70" s="15"/>
      <c r="F70" s="15"/>
      <c r="G70" s="15"/>
      <c r="H70" s="15"/>
      <c r="I70" s="15"/>
    </row>
    <row r="71" spans="1:10" s="42" customFormat="1">
      <c r="A71" s="15"/>
      <c r="B71" s="15"/>
      <c r="C71" s="15"/>
      <c r="D71" s="15"/>
      <c r="E71" s="15"/>
      <c r="F71" s="15"/>
      <c r="G71" s="15"/>
      <c r="H71" s="15"/>
      <c r="I71" s="15"/>
    </row>
    <row r="72" spans="1:10" s="42" customFormat="1">
      <c r="A72" s="15"/>
      <c r="B72" s="15"/>
      <c r="C72" s="15"/>
      <c r="D72" s="15"/>
      <c r="E72" s="15"/>
      <c r="F72" s="15"/>
      <c r="G72" s="15"/>
      <c r="H72" s="15"/>
      <c r="I72" s="15"/>
    </row>
    <row r="73" spans="1:10" s="42" customFormat="1">
      <c r="A73" s="15"/>
      <c r="B73" s="15"/>
      <c r="C73" s="15"/>
      <c r="D73" s="15"/>
      <c r="E73" s="15"/>
      <c r="F73" s="15"/>
      <c r="G73" s="15"/>
      <c r="H73" s="15"/>
      <c r="I73" s="15"/>
    </row>
    <row r="74" spans="1:10" s="42" customFormat="1">
      <c r="A74" s="15"/>
      <c r="B74" s="15"/>
      <c r="C74" s="15"/>
      <c r="D74" s="15"/>
      <c r="E74" s="15"/>
      <c r="F74" s="15"/>
      <c r="G74" s="15"/>
      <c r="H74" s="15"/>
      <c r="I74" s="15"/>
    </row>
    <row r="75" spans="1:10" s="42" customFormat="1">
      <c r="A75" s="15"/>
      <c r="B75" s="15"/>
      <c r="C75" s="15"/>
      <c r="D75" s="15"/>
      <c r="E75" s="15"/>
      <c r="F75" s="15"/>
      <c r="G75" s="15"/>
      <c r="H75" s="15"/>
      <c r="I75" s="15"/>
    </row>
    <row r="76" spans="1:10" s="42" customFormat="1">
      <c r="A76" s="15"/>
      <c r="B76" s="15"/>
      <c r="C76" s="15"/>
      <c r="D76" s="15"/>
      <c r="E76" s="15"/>
      <c r="F76" s="15"/>
      <c r="G76" s="15"/>
      <c r="H76" s="15"/>
      <c r="I76" s="15"/>
    </row>
    <row r="77" spans="1:10" s="42" customFormat="1">
      <c r="A77" s="15"/>
      <c r="B77" s="15"/>
      <c r="C77" s="15"/>
      <c r="D77" s="15"/>
      <c r="E77" s="15"/>
      <c r="F77" s="15"/>
      <c r="G77" s="15"/>
      <c r="H77" s="15"/>
      <c r="I77" s="15"/>
    </row>
    <row r="78" spans="1:10" s="42" customFormat="1">
      <c r="A78" s="15"/>
      <c r="B78" s="15"/>
      <c r="C78" s="15"/>
      <c r="D78" s="15"/>
      <c r="E78" s="15"/>
      <c r="F78" s="15"/>
      <c r="G78" s="15"/>
      <c r="H78" s="15"/>
      <c r="I78" s="15"/>
    </row>
    <row r="79" spans="1:10" hidden="1">
      <c r="J79" s="9"/>
    </row>
    <row r="80" spans="1:10" hidden="1">
      <c r="J80" s="9"/>
    </row>
    <row r="81" spans="1:10" hidden="1">
      <c r="J81" s="9"/>
    </row>
    <row r="82" spans="1:10" hidden="1">
      <c r="J82" s="9"/>
    </row>
    <row r="83" spans="1:10" hidden="1">
      <c r="J83" s="9"/>
    </row>
    <row r="84" spans="1:10" hidden="1">
      <c r="J84" s="9"/>
    </row>
    <row r="85" spans="1:10" s="42" customFormat="1" hidden="1">
      <c r="A85" s="15"/>
      <c r="B85" s="15"/>
      <c r="C85" s="15"/>
      <c r="D85" s="15"/>
      <c r="E85" s="15"/>
      <c r="F85" s="15"/>
      <c r="G85" s="15"/>
      <c r="H85" s="15"/>
      <c r="I85" s="15"/>
      <c r="J85" s="9"/>
    </row>
    <row r="86" spans="1:10" s="42" customFormat="1" hidden="1">
      <c r="A86" s="15"/>
      <c r="B86" s="15"/>
      <c r="C86" s="15"/>
      <c r="D86" s="15"/>
      <c r="E86" s="15"/>
      <c r="F86" s="15"/>
      <c r="G86" s="15"/>
      <c r="H86" s="15"/>
      <c r="I86" s="15"/>
      <c r="J86" s="9"/>
    </row>
  </sheetData>
  <mergeCells count="4">
    <mergeCell ref="A1:I1"/>
    <mergeCell ref="A54:I54"/>
    <mergeCell ref="A55:I55"/>
    <mergeCell ref="A56:I56"/>
  </mergeCells>
  <pageMargins left="0.7" right="0.7" top="0.75" bottom="0.75" header="0.3" footer="0.3"/>
  <pageSetup scale="63" orientation="portrait" r:id="rId1"/>
  <ignoredErrors>
    <ignoredError sqref="A47" twoDigitTextYear="1"/>
  </ignoredErrors>
</worksheet>
</file>

<file path=xl/worksheets/sheet3.xml><?xml version="1.0" encoding="utf-8"?>
<worksheet xmlns="http://schemas.openxmlformats.org/spreadsheetml/2006/main" xmlns:r="http://schemas.openxmlformats.org/officeDocument/2006/relationships">
  <sheetPr codeName="Sheet5"/>
  <dimension ref="A1:BA86"/>
  <sheetViews>
    <sheetView view="pageBreakPreview" zoomScaleSheetLayoutView="100" workbookViewId="0">
      <selection activeCell="C3" sqref="A3:C3"/>
    </sheetView>
  </sheetViews>
  <sheetFormatPr defaultRowHeight="15"/>
  <cols>
    <col min="1" max="1" width="9.140625" style="15" customWidth="1"/>
    <col min="2" max="3" width="28.7109375" style="15" customWidth="1"/>
    <col min="4" max="4" width="11.7109375" style="42" customWidth="1"/>
    <col min="5" max="5" width="9.140625" style="15" customWidth="1"/>
    <col min="6" max="7" width="28.7109375" style="15" customWidth="1"/>
    <col min="8" max="16384" width="9.140625" style="15"/>
  </cols>
  <sheetData>
    <row r="1" spans="1:53" ht="27.75" customHeight="1">
      <c r="A1" s="179" t="s">
        <v>199</v>
      </c>
      <c r="B1" s="179"/>
      <c r="C1" s="179"/>
      <c r="D1" s="48"/>
      <c r="E1" s="179" t="s">
        <v>240</v>
      </c>
      <c r="F1" s="179"/>
      <c r="G1" s="179"/>
    </row>
    <row r="2" spans="1:53">
      <c r="D2" s="9"/>
    </row>
    <row r="3" spans="1:53" ht="30">
      <c r="A3" s="113" t="s">
        <v>39</v>
      </c>
      <c r="B3" s="47" t="s">
        <v>44</v>
      </c>
      <c r="C3" s="47" t="s">
        <v>204</v>
      </c>
      <c r="D3" s="47"/>
      <c r="E3" s="113" t="s">
        <v>39</v>
      </c>
      <c r="F3" s="47" t="s">
        <v>44</v>
      </c>
      <c r="G3" s="47" t="s">
        <v>204</v>
      </c>
      <c r="I3" s="42"/>
      <c r="J3" s="42"/>
    </row>
    <row r="4" spans="1:53" s="42" customFormat="1">
      <c r="A4" s="113"/>
      <c r="B4" s="47" t="s">
        <v>29</v>
      </c>
      <c r="C4" s="47" t="s">
        <v>30</v>
      </c>
      <c r="D4" s="47"/>
      <c r="E4" s="113"/>
      <c r="F4" s="47" t="s">
        <v>29</v>
      </c>
      <c r="G4" s="47" t="s">
        <v>30</v>
      </c>
      <c r="J4" s="112"/>
    </row>
    <row r="5" spans="1:53">
      <c r="A5" s="13">
        <v>1969</v>
      </c>
      <c r="B5" s="52">
        <v>79.7</v>
      </c>
      <c r="C5" s="52">
        <f>100*B5/'1 '!I6</f>
        <v>301.35368516304976</v>
      </c>
      <c r="D5" s="52"/>
      <c r="E5" s="13">
        <v>1981</v>
      </c>
      <c r="F5" s="52">
        <v>57707</v>
      </c>
      <c r="G5" s="51">
        <f>100*F5/'1 '!S6</f>
        <v>109640.15840234749</v>
      </c>
      <c r="I5" s="42"/>
      <c r="J5" s="42"/>
    </row>
    <row r="6" spans="1:53">
      <c r="A6" s="13">
        <v>1970</v>
      </c>
      <c r="B6" s="52">
        <v>85.9</v>
      </c>
      <c r="C6" s="52">
        <f>100*B6/'1 '!I7</f>
        <v>310.08618776499674</v>
      </c>
      <c r="D6" s="52"/>
      <c r="E6" s="13">
        <v>1982</v>
      </c>
      <c r="F6" s="52">
        <v>64774</v>
      </c>
      <c r="G6" s="51">
        <f>100*F6/'1 '!S7</f>
        <v>115347.93113285747</v>
      </c>
      <c r="I6" s="42"/>
      <c r="J6" s="4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53">
      <c r="A7" s="13">
        <v>1971</v>
      </c>
      <c r="B7" s="52">
        <v>92.3</v>
      </c>
      <c r="C7" s="52">
        <f>100*B7/'1 '!I8</f>
        <v>313.92553366950477</v>
      </c>
      <c r="D7" s="52"/>
      <c r="E7" s="13">
        <v>1983</v>
      </c>
      <c r="F7" s="52">
        <v>67798</v>
      </c>
      <c r="G7" s="51">
        <f>100*F7/'1 '!S8</f>
        <v>118635.6821810626</v>
      </c>
      <c r="I7" s="42"/>
      <c r="J7" s="42"/>
    </row>
    <row r="8" spans="1:53">
      <c r="A8" s="13">
        <v>1972</v>
      </c>
      <c r="B8" s="52">
        <v>102.3</v>
      </c>
      <c r="C8" s="52">
        <f>100*B8/'1 '!I9</f>
        <v>330.55764539540928</v>
      </c>
      <c r="D8" s="52"/>
      <c r="E8" s="13">
        <v>1984</v>
      </c>
      <c r="F8" s="52">
        <v>71962</v>
      </c>
      <c r="G8" s="51">
        <f>100*F8/'1 '!S9</f>
        <v>122294.24911093431</v>
      </c>
      <c r="I8" s="42"/>
      <c r="J8" s="42"/>
    </row>
    <row r="9" spans="1:53">
      <c r="A9" s="13">
        <v>1973</v>
      </c>
      <c r="B9" s="52">
        <v>111.9</v>
      </c>
      <c r="C9" s="52">
        <f>100*B9/'1 '!I10</f>
        <v>341.40417086048075</v>
      </c>
      <c r="D9" s="52"/>
      <c r="E9" s="13">
        <v>1985</v>
      </c>
      <c r="F9" s="52">
        <v>76694</v>
      </c>
      <c r="G9" s="51">
        <f>100*F9/'1 '!S10</f>
        <v>127161.66894496737</v>
      </c>
      <c r="I9" s="42"/>
      <c r="J9" s="42"/>
    </row>
    <row r="10" spans="1:53">
      <c r="A10" s="13">
        <v>1974</v>
      </c>
      <c r="B10" s="52">
        <v>123.9</v>
      </c>
      <c r="C10" s="52">
        <f>100*B10/'1 '!I11</f>
        <v>342.81048213694424</v>
      </c>
      <c r="D10" s="52"/>
      <c r="E10" s="13">
        <v>1986</v>
      </c>
      <c r="F10" s="52">
        <v>81189</v>
      </c>
      <c r="G10" s="51">
        <f>100*F10/'1 '!S11</f>
        <v>130867.02015007265</v>
      </c>
      <c r="I10" s="42"/>
      <c r="J10" s="42"/>
    </row>
    <row r="11" spans="1:53">
      <c r="A11" s="13">
        <v>1975</v>
      </c>
      <c r="B11" s="52">
        <v>135.9</v>
      </c>
      <c r="C11" s="52">
        <f>100*B11/'1 '!I12</f>
        <v>339.73797015760624</v>
      </c>
      <c r="D11" s="52"/>
      <c r="E11" s="13">
        <v>1987</v>
      </c>
      <c r="F11" s="52">
        <v>85831</v>
      </c>
      <c r="G11" s="51">
        <f>100*F11/'1 '!S12</f>
        <v>133200.41419078549</v>
      </c>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22"/>
      <c r="AO11" s="22"/>
      <c r="AP11" s="22"/>
      <c r="AQ11" s="22"/>
      <c r="AR11" s="22"/>
      <c r="AS11" s="22"/>
      <c r="AT11" s="22"/>
      <c r="AU11" s="22"/>
      <c r="AV11" s="22"/>
      <c r="AW11" s="22"/>
      <c r="AX11" s="22"/>
      <c r="AY11" s="22"/>
      <c r="AZ11" s="22"/>
      <c r="BA11" s="22"/>
    </row>
    <row r="12" spans="1:53">
      <c r="A12" s="13">
        <v>1976</v>
      </c>
      <c r="B12" s="52">
        <v>147.4</v>
      </c>
      <c r="C12" s="52">
        <f>100*B12/'1 '!I13</f>
        <v>348.14624922633544</v>
      </c>
      <c r="D12" s="52"/>
      <c r="E12" s="13">
        <v>1988</v>
      </c>
      <c r="F12" s="52">
        <v>92098</v>
      </c>
      <c r="G12" s="51">
        <f>100*F12/'1 '!S13</f>
        <v>138057.38692737455</v>
      </c>
      <c r="I12" s="42"/>
      <c r="J12" s="42"/>
    </row>
    <row r="13" spans="1:53">
      <c r="A13" s="13">
        <v>1977</v>
      </c>
      <c r="B13" s="52">
        <v>167</v>
      </c>
      <c r="C13" s="52">
        <f>100*B13/'1 '!I14</f>
        <v>366.50213284459403</v>
      </c>
      <c r="D13" s="52"/>
      <c r="E13" s="13">
        <v>1989</v>
      </c>
      <c r="F13" s="52">
        <v>99776</v>
      </c>
      <c r="G13" s="51">
        <f>100*F13/'1 '!S14</f>
        <v>144692.18196074906</v>
      </c>
      <c r="I13" s="42"/>
      <c r="J13" s="42"/>
    </row>
    <row r="14" spans="1:53">
      <c r="A14" s="13">
        <v>1978</v>
      </c>
      <c r="B14" s="52">
        <v>189.4</v>
      </c>
      <c r="C14" s="52">
        <f>100*B14/'1 '!I15</f>
        <v>384.63526626931923</v>
      </c>
      <c r="D14" s="52"/>
      <c r="E14" s="13">
        <v>1990</v>
      </c>
      <c r="F14" s="52">
        <v>106561</v>
      </c>
      <c r="G14" s="51">
        <f>100*F14/'1 '!S15</f>
        <v>152433.61150256562</v>
      </c>
      <c r="I14" s="42"/>
      <c r="J14" s="42"/>
    </row>
    <row r="15" spans="1:53">
      <c r="A15" s="13">
        <v>1979</v>
      </c>
      <c r="B15" s="52">
        <v>216.1</v>
      </c>
      <c r="C15" s="52">
        <f>100*B15/'1 '!I16</f>
        <v>403.38470544101489</v>
      </c>
      <c r="D15" s="52"/>
      <c r="E15" s="13">
        <v>1991</v>
      </c>
      <c r="F15" s="52">
        <v>107542</v>
      </c>
      <c r="G15" s="51">
        <f>100*F15/'1 '!S16</f>
        <v>156380.63891662756</v>
      </c>
      <c r="I15" s="42"/>
      <c r="J15" s="42"/>
    </row>
    <row r="16" spans="1:53">
      <c r="A16" s="13">
        <v>1980</v>
      </c>
      <c r="B16" s="52">
        <v>245.8</v>
      </c>
      <c r="C16" s="52">
        <f>100*B16/'1 '!I17</f>
        <v>422.08889999181679</v>
      </c>
      <c r="D16" s="52"/>
      <c r="E16" s="13">
        <v>1992</v>
      </c>
      <c r="F16" s="52">
        <v>111277</v>
      </c>
      <c r="G16" s="51">
        <f>100*F16/'1 '!S17</f>
        <v>160367.97990363374</v>
      </c>
      <c r="I16" s="42"/>
      <c r="J16" s="42"/>
    </row>
    <row r="17" spans="1:10">
      <c r="A17" s="13">
        <v>1981</v>
      </c>
      <c r="B17" s="52">
        <v>301.2</v>
      </c>
      <c r="C17" s="52">
        <f>100*B17/'1 '!I18</f>
        <v>470.66655243150967</v>
      </c>
      <c r="D17" s="52"/>
      <c r="E17" s="13">
        <v>1993</v>
      </c>
      <c r="F17" s="52">
        <v>114176</v>
      </c>
      <c r="G17" s="51">
        <f>100*F17/'1 '!S18</f>
        <v>162451.18983238298</v>
      </c>
      <c r="I17" s="42"/>
      <c r="J17" s="42"/>
    </row>
    <row r="18" spans="1:10">
      <c r="A18" s="13">
        <v>1982</v>
      </c>
      <c r="B18" s="52">
        <v>343.1</v>
      </c>
      <c r="C18" s="52">
        <f>100*B18/'1 '!I19</f>
        <v>511.35982390817418</v>
      </c>
      <c r="D18" s="52"/>
      <c r="E18" s="13">
        <v>1994</v>
      </c>
      <c r="F18" s="52">
        <v>120291</v>
      </c>
      <c r="G18" s="51">
        <f>100*F18/'1 '!S19</f>
        <v>165622.32758989293</v>
      </c>
      <c r="I18" s="42"/>
      <c r="J18" s="42"/>
    </row>
    <row r="19" spans="1:10">
      <c r="A19" s="13">
        <v>1983</v>
      </c>
      <c r="B19" s="52">
        <v>385.6</v>
      </c>
      <c r="C19" s="52">
        <f>100*B19/'1 '!I20</f>
        <v>570.28205659525111</v>
      </c>
      <c r="D19" s="52"/>
      <c r="E19" s="13">
        <v>1995</v>
      </c>
      <c r="F19" s="52">
        <v>125443</v>
      </c>
      <c r="G19" s="51">
        <f>100*F19/'1 '!S20</f>
        <v>171538.68970889386</v>
      </c>
      <c r="I19" s="42"/>
      <c r="J19" s="42"/>
    </row>
    <row r="20" spans="1:10">
      <c r="A20" s="13">
        <v>1984</v>
      </c>
      <c r="B20" s="52">
        <v>435.6</v>
      </c>
      <c r="C20" s="52">
        <f>100*B20/'1 '!I21</f>
        <v>633.44355158547069</v>
      </c>
      <c r="D20" s="52"/>
      <c r="E20" s="13">
        <v>1996</v>
      </c>
      <c r="F20" s="52">
        <v>130900</v>
      </c>
      <c r="G20" s="51">
        <f>100*F20/'1 '!S21</f>
        <v>178482.14264130057</v>
      </c>
      <c r="I20" s="42"/>
      <c r="J20" s="42"/>
    </row>
    <row r="21" spans="1:10">
      <c r="A21" s="13">
        <v>1985</v>
      </c>
      <c r="B21" s="52">
        <v>493.5</v>
      </c>
      <c r="C21" s="52">
        <f>100*B21/'1 '!I22</f>
        <v>712.31388327871866</v>
      </c>
      <c r="D21" s="52"/>
      <c r="E21" s="13">
        <v>1997</v>
      </c>
      <c r="F21" s="52">
        <v>138417</v>
      </c>
      <c r="G21" s="51">
        <f>100*F21/'1 '!S22</f>
        <v>184930.70295756779</v>
      </c>
      <c r="I21" s="42"/>
      <c r="J21" s="42"/>
    </row>
    <row r="22" spans="1:10">
      <c r="A22" s="13">
        <v>1986</v>
      </c>
      <c r="B22" s="52">
        <v>512</v>
      </c>
      <c r="C22" s="52">
        <f>100*B22/'1 '!I23</f>
        <v>727.36753912595111</v>
      </c>
      <c r="D22" s="52"/>
      <c r="E22" s="13">
        <v>1998</v>
      </c>
      <c r="F22" s="52">
        <v>147951</v>
      </c>
      <c r="G22" s="51">
        <f>100*F22/'1 '!S23</f>
        <v>194298.4514336203</v>
      </c>
      <c r="I22" s="42"/>
      <c r="J22" s="42"/>
    </row>
    <row r="23" spans="1:10">
      <c r="A23" s="13">
        <v>1987</v>
      </c>
      <c r="B23" s="52">
        <v>533.1</v>
      </c>
      <c r="C23" s="52">
        <f>100*B23/'1 '!I24</f>
        <v>743.31782093049492</v>
      </c>
      <c r="D23" s="52"/>
      <c r="E23" s="13">
        <v>1999</v>
      </c>
      <c r="F23" s="52">
        <v>154925</v>
      </c>
      <c r="G23" s="51">
        <f>100*F23/'1 '!S24</f>
        <v>203317.49802657904</v>
      </c>
      <c r="I23" s="42"/>
      <c r="J23" s="42"/>
    </row>
    <row r="24" spans="1:10">
      <c r="A24" s="13">
        <v>1988</v>
      </c>
      <c r="B24" s="52">
        <v>563.70000000000005</v>
      </c>
      <c r="C24" s="52">
        <f>100*B24/'1 '!I25</f>
        <v>765.63229901948478</v>
      </c>
      <c r="D24" s="52"/>
      <c r="E24" s="13">
        <v>2000</v>
      </c>
      <c r="F24" s="52">
        <v>165131</v>
      </c>
      <c r="G24" s="51">
        <f>100*F24/'1 '!S25</f>
        <v>213773.52035176774</v>
      </c>
      <c r="I24" s="42"/>
      <c r="J24" s="42"/>
    </row>
    <row r="25" spans="1:10">
      <c r="A25" s="13">
        <v>1989</v>
      </c>
      <c r="B25" s="52">
        <v>589.5</v>
      </c>
      <c r="C25" s="52">
        <f>100*B25/'1 '!I26</f>
        <v>780.22130461852146</v>
      </c>
      <c r="D25" s="52"/>
      <c r="E25" s="13">
        <v>2001</v>
      </c>
      <c r="F25" s="52">
        <v>175584</v>
      </c>
      <c r="G25" s="51">
        <f>100*F25/'1 '!S26</f>
        <v>224000.74931060086</v>
      </c>
      <c r="I25" s="42"/>
      <c r="J25" s="42"/>
    </row>
    <row r="26" spans="1:10">
      <c r="A26" s="13">
        <v>1990</v>
      </c>
      <c r="B26" s="52">
        <v>596</v>
      </c>
      <c r="C26" s="52">
        <f>100*B26/'1 '!I27</f>
        <v>775.1848027960018</v>
      </c>
      <c r="D26" s="52"/>
      <c r="E26" s="13">
        <v>2002</v>
      </c>
      <c r="F26" s="52">
        <v>183486</v>
      </c>
      <c r="G26" s="51">
        <f>100*F26/'1 '!S27</f>
        <v>228699.81908111615</v>
      </c>
      <c r="I26" s="42"/>
      <c r="J26" s="42"/>
    </row>
    <row r="27" spans="1:10">
      <c r="A27" s="13">
        <v>1991</v>
      </c>
      <c r="B27" s="52">
        <v>611.6</v>
      </c>
      <c r="C27" s="52">
        <f>100*B27/'1 '!I28</f>
        <v>783.54088204300524</v>
      </c>
      <c r="D27" s="52"/>
      <c r="E27" s="13">
        <v>2003</v>
      </c>
      <c r="F27" s="52">
        <v>186228</v>
      </c>
      <c r="G27" s="51">
        <f>100*F27/'1 '!S28</f>
        <v>231891.96220832868</v>
      </c>
      <c r="I27" s="42"/>
      <c r="J27" s="42"/>
    </row>
    <row r="28" spans="1:10">
      <c r="A28" s="13">
        <v>1992</v>
      </c>
      <c r="B28" s="52">
        <v>628.4</v>
      </c>
      <c r="C28" s="52">
        <f>100*B28/'1 '!I29</f>
        <v>801.60119690308341</v>
      </c>
      <c r="D28" s="52"/>
      <c r="E28" s="13">
        <v>2004</v>
      </c>
      <c r="F28" s="52">
        <v>193403</v>
      </c>
      <c r="G28" s="51">
        <f>100*F28/'1 '!S29</f>
        <v>235121.02328532623</v>
      </c>
      <c r="I28" s="42"/>
      <c r="J28" s="42"/>
    </row>
    <row r="29" spans="1:10">
      <c r="A29" s="13">
        <v>1993</v>
      </c>
      <c r="B29" s="52">
        <v>658.9</v>
      </c>
      <c r="C29" s="52">
        <f>100*B29/'1 '!I30</f>
        <v>825.91254722105032</v>
      </c>
      <c r="D29" s="52"/>
      <c r="E29" s="13">
        <v>2005</v>
      </c>
      <c r="F29" s="52">
        <v>204293</v>
      </c>
      <c r="G29" s="51">
        <f>100*F29/'1 '!S30</f>
        <v>243428.82168463417</v>
      </c>
      <c r="I29" s="42"/>
      <c r="J29" s="42"/>
    </row>
    <row r="30" spans="1:10">
      <c r="A30" s="13">
        <v>1994</v>
      </c>
      <c r="B30" s="52">
        <v>701.6</v>
      </c>
      <c r="C30" s="52">
        <f>100*B30/'1 '!I31</f>
        <v>861.40790222645171</v>
      </c>
      <c r="D30" s="52"/>
      <c r="E30" s="13">
        <v>2006</v>
      </c>
      <c r="F30" s="52">
        <v>219318</v>
      </c>
      <c r="G30" s="51">
        <f>100*F30/'1 '!S31</f>
        <v>251707.9361435092</v>
      </c>
      <c r="I30" s="42"/>
      <c r="J30" s="42"/>
    </row>
    <row r="31" spans="1:10">
      <c r="A31" s="13">
        <v>1995</v>
      </c>
      <c r="B31" s="52">
        <v>753.9</v>
      </c>
      <c r="C31" s="52">
        <f>100*B31/'1 '!I32</f>
        <v>908.87195379919615</v>
      </c>
      <c r="D31" s="52"/>
      <c r="E31" s="13">
        <v>2007</v>
      </c>
      <c r="F31" s="52">
        <v>235545</v>
      </c>
      <c r="G31" s="51">
        <f>100*F31/'1 '!S32</f>
        <v>259477.0059392603</v>
      </c>
      <c r="I31" s="42"/>
      <c r="J31" s="42"/>
    </row>
    <row r="32" spans="1:10">
      <c r="A32" s="13">
        <v>1996</v>
      </c>
      <c r="B32" s="52">
        <v>808.3</v>
      </c>
      <c r="C32" s="52">
        <f>100*B32/'1 '!I33</f>
        <v>971.5641911909039</v>
      </c>
      <c r="D32" s="52"/>
      <c r="E32" s="13">
        <v>2008</v>
      </c>
      <c r="F32" s="52">
        <v>256644</v>
      </c>
      <c r="G32" s="51">
        <f>100*F32/'1 '!S33</f>
        <v>272100.81773185096</v>
      </c>
      <c r="I32" s="42"/>
      <c r="J32" s="42"/>
    </row>
    <row r="33" spans="1:10">
      <c r="A33" s="13">
        <v>1997</v>
      </c>
      <c r="B33" s="52">
        <v>877</v>
      </c>
      <c r="C33" s="52">
        <f>100*B33/'1 '!I34</f>
        <v>1049.6541525599407</v>
      </c>
      <c r="D33" s="52"/>
      <c r="E33" s="13">
        <v>2009</v>
      </c>
      <c r="F33" s="52">
        <v>268289</v>
      </c>
      <c r="G33" s="51">
        <f>100*F33/'1 '!S34</f>
        <v>279978.26444184675</v>
      </c>
      <c r="I33" s="42"/>
      <c r="J33" s="42"/>
    </row>
    <row r="34" spans="1:10">
      <c r="A34" s="13">
        <v>1998</v>
      </c>
      <c r="B34" s="52">
        <v>941.4</v>
      </c>
      <c r="C34" s="52">
        <f>100*B34/'1 '!I35</f>
        <v>1130.5168490155684</v>
      </c>
      <c r="D34" s="52"/>
      <c r="E34" s="13">
        <v>2010</v>
      </c>
      <c r="F34" s="52">
        <v>269097</v>
      </c>
      <c r="G34" s="51">
        <f>100*F34/'1 '!S35</f>
        <v>280801.59673368494</v>
      </c>
      <c r="I34" s="42"/>
      <c r="J34" s="42"/>
    </row>
    <row r="35" spans="1:10">
      <c r="A35" s="13">
        <v>1999</v>
      </c>
      <c r="B35" s="52">
        <v>1023.8</v>
      </c>
      <c r="C35" s="52">
        <f>100*B35/'1 '!I36</f>
        <v>1224.3937606621316</v>
      </c>
      <c r="D35" s="52"/>
      <c r="E35" s="13">
        <v>2011</v>
      </c>
      <c r="F35" s="52">
        <v>280060</v>
      </c>
      <c r="G35" s="51">
        <f>100*F35/'1 '!S36</f>
        <v>286530.0727479246</v>
      </c>
      <c r="I35" s="42"/>
      <c r="J35" s="42"/>
    </row>
    <row r="36" spans="1:10">
      <c r="A36" s="13">
        <v>2000</v>
      </c>
      <c r="B36" s="52">
        <v>1096.0999999999999</v>
      </c>
      <c r="C36" s="52">
        <f>100*B36/'1 '!I37</f>
        <v>1292.1733828269262</v>
      </c>
      <c r="D36" s="52"/>
      <c r="E36" s="13">
        <v>2012</v>
      </c>
      <c r="F36" s="52">
        <v>294108</v>
      </c>
      <c r="G36" s="51">
        <f>100*F36/'1 '!S37</f>
        <v>294107.8347094208</v>
      </c>
      <c r="I36" s="42"/>
      <c r="J36" s="42"/>
    </row>
    <row r="37" spans="1:10">
      <c r="A37" s="13">
        <v>2001</v>
      </c>
      <c r="B37" s="52">
        <v>1180.0999999999999</v>
      </c>
      <c r="C37" s="52">
        <f>100*B37/'1 '!I38</f>
        <v>1384.8282761083294</v>
      </c>
      <c r="D37" s="52"/>
      <c r="E37" s="13">
        <v>2013</v>
      </c>
      <c r="F37" s="52">
        <v>308976</v>
      </c>
      <c r="G37" s="51">
        <f>100*F37/'1 '!S38</f>
        <v>304934.19267689739</v>
      </c>
      <c r="I37" s="42"/>
      <c r="J37" s="42"/>
    </row>
    <row r="38" spans="1:10">
      <c r="A38" s="13">
        <v>2002</v>
      </c>
      <c r="B38" s="52">
        <v>1283.9000000000001</v>
      </c>
      <c r="C38" s="52">
        <f>100*B38/'1 '!I39</f>
        <v>1498.8347823138563</v>
      </c>
      <c r="D38" s="52"/>
      <c r="E38" s="13">
        <v>2014</v>
      </c>
      <c r="F38" s="162">
        <v>323208</v>
      </c>
      <c r="G38" s="51">
        <f>100*F38/'1 '!S39</f>
        <v>308423.14807127119</v>
      </c>
    </row>
    <row r="39" spans="1:10">
      <c r="A39" s="13">
        <v>2003</v>
      </c>
      <c r="B39" s="52">
        <v>1303.5</v>
      </c>
      <c r="C39" s="52">
        <f>100*B39/'1 '!I40</f>
        <v>1510.0815411282576</v>
      </c>
      <c r="D39" s="52"/>
      <c r="E39" s="13">
        <v>2015</v>
      </c>
      <c r="F39" s="51">
        <v>342323</v>
      </c>
      <c r="G39" s="51">
        <f>100*F39/'1 '!S40</f>
        <v>317368.16074126487</v>
      </c>
    </row>
    <row r="40" spans="1:10">
      <c r="A40" s="13">
        <v>2004</v>
      </c>
      <c r="B40" s="52">
        <v>1332</v>
      </c>
      <c r="C40" s="52">
        <f>100*B40/'1 '!I41</f>
        <v>1495.7197770924681</v>
      </c>
      <c r="D40" s="52"/>
      <c r="E40" s="13">
        <v>2016</v>
      </c>
      <c r="F40" s="52">
        <v>351986</v>
      </c>
      <c r="G40" s="51">
        <f>100*F40/'1 '!S41</f>
        <v>319188.9298844912</v>
      </c>
    </row>
    <row r="41" spans="1:10">
      <c r="A41" s="13">
        <v>2005</v>
      </c>
      <c r="B41" s="52">
        <v>1169.5</v>
      </c>
      <c r="C41" s="52">
        <f>100*B41/'1 '!I42</f>
        <v>1258.3113620551276</v>
      </c>
      <c r="D41" s="52"/>
      <c r="E41" s="13">
        <v>2017</v>
      </c>
      <c r="F41" s="162">
        <v>354203</v>
      </c>
      <c r="G41" s="51">
        <f>100*F41/'1 '!S42</f>
        <v>315714.98021598713</v>
      </c>
    </row>
    <row r="42" spans="1:10">
      <c r="A42" s="13">
        <v>2006</v>
      </c>
      <c r="B42" s="52">
        <v>1245.0999999999999</v>
      </c>
      <c r="C42" s="52">
        <f>100*B42/'1 '!I43</f>
        <v>1294.3389808410711</v>
      </c>
      <c r="D42" s="52"/>
      <c r="E42" s="13">
        <v>2018</v>
      </c>
      <c r="F42" s="51">
        <v>367230</v>
      </c>
      <c r="G42" s="51">
        <f>100*F42/'1 '!S43</f>
        <v>323057.46691558801</v>
      </c>
    </row>
    <row r="43" spans="1:10">
      <c r="A43" s="13">
        <v>2007</v>
      </c>
      <c r="B43" s="52">
        <v>1326.8</v>
      </c>
      <c r="C43" s="52">
        <f>100*B43/'1 '!I44</f>
        <v>1353.7929319581322</v>
      </c>
      <c r="D43" s="52"/>
    </row>
    <row r="44" spans="1:10">
      <c r="A44" s="13">
        <v>2008</v>
      </c>
      <c r="B44" s="52">
        <v>1584.1</v>
      </c>
      <c r="C44" s="52">
        <f>100*B44/'1 '!I45</f>
        <v>1596.0066847589849</v>
      </c>
      <c r="D44" s="52"/>
      <c r="E44" s="5" t="s">
        <v>139</v>
      </c>
      <c r="F44" s="23"/>
      <c r="G44" s="13"/>
    </row>
    <row r="45" spans="1:10">
      <c r="A45" s="13">
        <v>2009</v>
      </c>
      <c r="B45" s="52">
        <v>1562.1</v>
      </c>
      <c r="C45" s="52">
        <f>100*B45/'1 '!I46</f>
        <v>1589.9402276000812</v>
      </c>
      <c r="D45" s="52"/>
      <c r="E45" s="56" t="s">
        <v>153</v>
      </c>
      <c r="F45" s="57">
        <f>100*((F32/F5)^(1/27)-1)</f>
        <v>5.6826757856270005</v>
      </c>
      <c r="G45" s="58">
        <f>100*((G32/G5)^(1/27)-1)</f>
        <v>3.4238612708193505</v>
      </c>
    </row>
    <row r="46" spans="1:10">
      <c r="A46" s="13">
        <v>2010</v>
      </c>
      <c r="B46" s="52">
        <v>1605.9</v>
      </c>
      <c r="C46" s="52">
        <f>100*B46/'1 '!I47</f>
        <v>1652.0998496151969</v>
      </c>
      <c r="D46" s="52"/>
      <c r="E46" s="67" t="s">
        <v>138</v>
      </c>
      <c r="F46" s="10">
        <f>100*((F13/F5)^(1/8)-1)</f>
        <v>7.0840280078722229</v>
      </c>
      <c r="G46" s="11">
        <f>100*((G13/G5)^(1/8)-1)</f>
        <v>3.5283819471709776</v>
      </c>
    </row>
    <row r="47" spans="1:10">
      <c r="A47" s="13">
        <v>2011</v>
      </c>
      <c r="B47" s="52">
        <v>1831.3</v>
      </c>
      <c r="C47" s="52">
        <f>100*B47/'1 '!I48</f>
        <v>1857.7876310128891</v>
      </c>
      <c r="D47" s="52"/>
      <c r="E47" s="67" t="s">
        <v>27</v>
      </c>
      <c r="F47" s="10">
        <f>100*((F24/F13)^(1/11)-1)</f>
        <v>4.6866104313777024</v>
      </c>
      <c r="G47" s="11">
        <f>100*((G24/G13)^(1/11)-1)</f>
        <v>3.6119613425307673</v>
      </c>
    </row>
    <row r="48" spans="1:10">
      <c r="A48" s="13">
        <v>2012</v>
      </c>
      <c r="B48" s="52">
        <v>1665.9</v>
      </c>
      <c r="C48" s="52">
        <f>100*B48/'1 '!I49</f>
        <v>1665.8840741055394</v>
      </c>
      <c r="D48" s="52"/>
      <c r="E48" s="68" t="s">
        <v>28</v>
      </c>
      <c r="F48" s="59">
        <f>100*((F32/F24)^(1/8)-1)</f>
        <v>5.6666193614488991</v>
      </c>
      <c r="G48" s="60">
        <f>100*((G32/G24)^(1/8)-1)</f>
        <v>3.0616265219138183</v>
      </c>
    </row>
    <row r="49" spans="1:9" s="42" customFormat="1">
      <c r="A49" s="13">
        <v>2013</v>
      </c>
      <c r="B49" s="52">
        <v>1753.6</v>
      </c>
      <c r="C49" s="52">
        <f>100*B49/'1 '!I50</f>
        <v>1737.1143752163744</v>
      </c>
      <c r="D49" s="52"/>
      <c r="E49" s="15"/>
      <c r="F49" s="15"/>
      <c r="G49" s="15"/>
    </row>
    <row r="50" spans="1:9" s="42" customFormat="1">
      <c r="A50" s="13">
        <v>2014</v>
      </c>
      <c r="B50" s="52">
        <v>1866.1</v>
      </c>
      <c r="C50" s="52">
        <f>100*B50/'1 '!I51</f>
        <v>1812.2599839387817</v>
      </c>
      <c r="D50" s="52"/>
      <c r="E50" s="70" t="s">
        <v>140</v>
      </c>
      <c r="F50" s="10"/>
      <c r="G50" s="10"/>
    </row>
    <row r="51" spans="1:9" ht="15" customHeight="1">
      <c r="A51" s="13">
        <v>2015</v>
      </c>
      <c r="B51" s="52">
        <v>1981.1</v>
      </c>
      <c r="C51" s="52">
        <f>100*B51/'1 '!I52</f>
        <v>1907.8167221045551</v>
      </c>
      <c r="D51" s="52"/>
      <c r="E51" s="66" t="s">
        <v>202</v>
      </c>
      <c r="F51" s="72">
        <f>110*((F42/F5)^(1/37)-1)</f>
        <v>5.6417267096165036</v>
      </c>
      <c r="G51" s="58">
        <f>110*((G39/G5)^(1/34)-1)</f>
        <v>3.4929724169667353</v>
      </c>
    </row>
    <row r="52" spans="1:9" s="42" customFormat="1" ht="15" customHeight="1">
      <c r="A52" s="13">
        <v>2016</v>
      </c>
      <c r="B52" s="52">
        <v>2084.9</v>
      </c>
      <c r="C52" s="52">
        <f>100*B52/'1 '!I53</f>
        <v>2005.9266213831256</v>
      </c>
      <c r="D52" s="52"/>
      <c r="E52" s="67" t="s">
        <v>200</v>
      </c>
      <c r="F52" s="73">
        <f>((F42/F24)^(1/18)-1)*100</f>
        <v>4.5403292151210195</v>
      </c>
      <c r="G52" s="11">
        <f>((G39/G24)^(1/15)-1)*100</f>
        <v>2.669306788174497</v>
      </c>
    </row>
    <row r="53" spans="1:9" s="42" customFormat="1" ht="15" customHeight="1">
      <c r="A53" s="13">
        <v>2017</v>
      </c>
      <c r="B53" s="52">
        <v>2252.6</v>
      </c>
      <c r="C53" s="52">
        <f>100*B53/'1 '!I54</f>
        <v>2136.0697661198014</v>
      </c>
      <c r="D53" s="52"/>
      <c r="E53" s="79" t="s">
        <v>201</v>
      </c>
      <c r="F53" s="74">
        <f>((F42/F32)^(1/10)-1)*100</f>
        <v>3.6479468716621444</v>
      </c>
      <c r="G53" s="60">
        <f>((G39/G32)^(1/7)-1)*100</f>
        <v>2.222769729676588</v>
      </c>
    </row>
    <row r="54" spans="1:9" s="42" customFormat="1" ht="15" customHeight="1">
      <c r="A54" s="13">
        <v>2018</v>
      </c>
      <c r="B54" s="52">
        <v>2589.5</v>
      </c>
      <c r="C54" s="52" t="s">
        <v>166</v>
      </c>
      <c r="D54" s="52"/>
      <c r="E54" s="21"/>
      <c r="F54" s="10"/>
      <c r="G54" s="10"/>
    </row>
    <row r="55" spans="1:9" s="42" customFormat="1" ht="15" customHeight="1">
      <c r="B55" s="163"/>
      <c r="C55" s="9"/>
      <c r="D55" s="52"/>
      <c r="E55" s="21"/>
      <c r="F55" s="10"/>
      <c r="G55" s="10"/>
    </row>
    <row r="56" spans="1:9">
      <c r="A56" s="5" t="s">
        <v>139</v>
      </c>
      <c r="B56" s="23"/>
      <c r="C56" s="13"/>
      <c r="D56" s="52"/>
      <c r="F56" s="63"/>
      <c r="G56" s="63"/>
    </row>
    <row r="57" spans="1:9">
      <c r="A57" s="66" t="s">
        <v>138</v>
      </c>
      <c r="B57" s="57">
        <f>100*((B25/B17)^(1/8)-1)</f>
        <v>8.756094958592687</v>
      </c>
      <c r="C57" s="58">
        <f>100*((C25/C17)^(1/8)-1)</f>
        <v>6.5216925759642219</v>
      </c>
      <c r="D57" s="52"/>
      <c r="E57" s="180" t="s">
        <v>168</v>
      </c>
      <c r="F57" s="180"/>
      <c r="G57" s="180"/>
      <c r="I57" s="42"/>
    </row>
    <row r="58" spans="1:9">
      <c r="A58" s="67" t="s">
        <v>27</v>
      </c>
      <c r="B58" s="10">
        <f>100*((B36/B25)^(1/11)-1)</f>
        <v>5.8005320449832087</v>
      </c>
      <c r="C58" s="11">
        <f>100*((C36/C25)^(1/11)-1)</f>
        <v>4.693194897148345</v>
      </c>
      <c r="D58" s="52"/>
      <c r="E58" s="180"/>
      <c r="F58" s="180"/>
      <c r="G58" s="180"/>
    </row>
    <row r="59" spans="1:9" s="42" customFormat="1">
      <c r="A59" s="67" t="s">
        <v>28</v>
      </c>
      <c r="B59" s="10">
        <f>100*((B44/B36)^(1/8)-1)</f>
        <v>4.7108179320469068</v>
      </c>
      <c r="C59" s="11">
        <f>100*((C44/C36)^(1/8)-1)</f>
        <v>2.6748883799742051</v>
      </c>
      <c r="D59" s="52"/>
      <c r="E59" s="180"/>
      <c r="F59" s="180"/>
      <c r="G59" s="180"/>
    </row>
    <row r="60" spans="1:9" s="42" customFormat="1">
      <c r="A60" s="68" t="s">
        <v>152</v>
      </c>
      <c r="B60" s="59">
        <f>100*((B44/B17)^(1/27)-1)</f>
        <v>6.3410693501384285</v>
      </c>
      <c r="C60" s="60">
        <f>100*((C44/C17)^(1/27)-1)</f>
        <v>4.6264602015964718</v>
      </c>
      <c r="D60" s="71"/>
      <c r="E60" s="180"/>
      <c r="F60" s="180"/>
      <c r="G60" s="180"/>
    </row>
    <row r="61" spans="1:9" s="42" customFormat="1">
      <c r="C61" s="50"/>
      <c r="D61" s="52"/>
      <c r="E61" s="15"/>
      <c r="F61" s="15"/>
      <c r="G61" s="15"/>
    </row>
    <row r="62" spans="1:9" s="42" customFormat="1">
      <c r="D62" s="104"/>
      <c r="E62" s="15"/>
      <c r="F62" s="15"/>
      <c r="G62" s="15"/>
      <c r="H62" s="9"/>
    </row>
    <row r="63" spans="1:9" s="42" customFormat="1">
      <c r="A63" s="70" t="s">
        <v>140</v>
      </c>
      <c r="B63" s="10"/>
      <c r="C63" s="10"/>
      <c r="D63" s="104"/>
      <c r="E63" s="15"/>
      <c r="F63" s="15"/>
      <c r="G63" s="15"/>
      <c r="H63" s="9"/>
    </row>
    <row r="64" spans="1:9">
      <c r="A64" s="66" t="s">
        <v>200</v>
      </c>
      <c r="B64" s="57">
        <f>((B54/B36)^(1/18)-1)*100</f>
        <v>4.8920421926615942</v>
      </c>
      <c r="C64" s="58" t="s">
        <v>166</v>
      </c>
      <c r="D64" s="10"/>
      <c r="H64" s="9"/>
    </row>
    <row r="65" spans="1:7">
      <c r="A65" s="88" t="s">
        <v>201</v>
      </c>
      <c r="B65" s="10">
        <f>((B54/B44)^(1/10)-1)*100</f>
        <v>5.0372474009421131</v>
      </c>
      <c r="C65" s="11" t="s">
        <v>166</v>
      </c>
      <c r="D65" s="10"/>
    </row>
    <row r="66" spans="1:7" s="42" customFormat="1">
      <c r="A66" s="68" t="s">
        <v>202</v>
      </c>
      <c r="B66" s="59">
        <f>100*((B54/B17)^(1/37)-1)</f>
        <v>5.9870974034735847</v>
      </c>
      <c r="C66" s="60" t="s">
        <v>166</v>
      </c>
      <c r="D66" s="10"/>
      <c r="E66" s="15"/>
      <c r="F66" s="15"/>
      <c r="G66" s="15"/>
    </row>
    <row r="67" spans="1:7" s="42" customFormat="1" ht="15" customHeight="1">
      <c r="B67" s="78"/>
      <c r="C67" s="78"/>
      <c r="D67" s="78"/>
      <c r="E67" s="15"/>
      <c r="F67" s="15"/>
      <c r="G67" s="15"/>
    </row>
    <row r="68" spans="1:7" s="42" customFormat="1">
      <c r="A68" s="178" t="s">
        <v>203</v>
      </c>
      <c r="B68" s="178"/>
      <c r="C68" s="178"/>
      <c r="D68" s="178"/>
      <c r="E68" s="15"/>
      <c r="F68" s="15"/>
      <c r="G68" s="15"/>
    </row>
    <row r="69" spans="1:7" s="42" customFormat="1">
      <c r="A69" s="178"/>
      <c r="B69" s="178"/>
      <c r="C69" s="178"/>
      <c r="D69" s="178"/>
      <c r="E69" s="15"/>
      <c r="F69" s="15"/>
      <c r="G69" s="15"/>
    </row>
    <row r="70" spans="1:7" s="42" customFormat="1">
      <c r="A70" s="178"/>
      <c r="B70" s="178"/>
      <c r="C70" s="178"/>
      <c r="D70" s="178"/>
      <c r="E70" s="15"/>
      <c r="F70" s="15"/>
      <c r="G70" s="15"/>
    </row>
    <row r="71" spans="1:7" s="42" customFormat="1">
      <c r="A71" s="178"/>
      <c r="B71" s="178"/>
      <c r="C71" s="178"/>
      <c r="D71" s="178"/>
      <c r="E71" s="15"/>
      <c r="F71" s="15"/>
      <c r="G71" s="15"/>
    </row>
    <row r="72" spans="1:7" s="42" customFormat="1">
      <c r="A72" s="130"/>
      <c r="B72" s="130"/>
      <c r="C72" s="130"/>
      <c r="D72" s="10"/>
      <c r="E72" s="15"/>
      <c r="F72" s="15"/>
      <c r="G72" s="15"/>
    </row>
    <row r="73" spans="1:7" s="42" customFormat="1">
      <c r="A73" s="130"/>
      <c r="B73" s="130"/>
      <c r="C73" s="130"/>
      <c r="D73" s="10"/>
      <c r="E73" s="15"/>
      <c r="F73" s="15"/>
      <c r="G73" s="15"/>
    </row>
    <row r="74" spans="1:7" s="42" customFormat="1">
      <c r="A74" s="130"/>
      <c r="B74" s="130"/>
      <c r="C74" s="130"/>
      <c r="D74" s="10"/>
      <c r="E74" s="15"/>
      <c r="F74" s="15"/>
      <c r="G74" s="15"/>
    </row>
    <row r="75" spans="1:7" s="42" customFormat="1">
      <c r="A75" s="17"/>
      <c r="B75" s="17"/>
      <c r="C75" s="17"/>
      <c r="E75" s="15"/>
      <c r="F75" s="15"/>
      <c r="G75" s="15"/>
    </row>
    <row r="76" spans="1:7" s="42" customFormat="1">
      <c r="A76" s="17"/>
      <c r="B76" s="17"/>
      <c r="C76" s="17"/>
      <c r="E76" s="15"/>
      <c r="F76" s="15"/>
      <c r="G76" s="15"/>
    </row>
    <row r="77" spans="1:7" s="42" customFormat="1" ht="15" customHeight="1">
      <c r="A77" s="15"/>
      <c r="B77" s="15"/>
      <c r="C77" s="15"/>
      <c r="D77" s="131"/>
      <c r="E77" s="15"/>
      <c r="F77" s="15"/>
      <c r="G77" s="15"/>
    </row>
    <row r="78" spans="1:7" s="42" customFormat="1">
      <c r="A78" s="15"/>
      <c r="B78" s="15"/>
      <c r="C78" s="15"/>
      <c r="D78" s="131"/>
      <c r="E78" s="9"/>
      <c r="F78" s="15"/>
      <c r="G78" s="15"/>
    </row>
    <row r="79" spans="1:7" ht="15" hidden="1" customHeight="1">
      <c r="D79" s="17"/>
      <c r="E79" s="9"/>
    </row>
    <row r="80" spans="1:7" ht="15" hidden="1" customHeight="1">
      <c r="D80" s="17"/>
    </row>
    <row r="81" spans="1:7" s="42" customFormat="1" ht="15" hidden="1" customHeight="1">
      <c r="A81" s="15"/>
      <c r="B81" s="15"/>
      <c r="C81" s="15"/>
      <c r="D81" s="17"/>
      <c r="E81" s="15"/>
      <c r="F81" s="15"/>
      <c r="G81" s="15"/>
    </row>
    <row r="82" spans="1:7" ht="15" hidden="1" customHeight="1">
      <c r="D82" s="17"/>
    </row>
    <row r="83" spans="1:7" s="42" customFormat="1" ht="15" hidden="1" customHeight="1">
      <c r="A83" s="15"/>
      <c r="B83" s="15"/>
      <c r="C83" s="15"/>
      <c r="D83" s="17"/>
      <c r="E83" s="15"/>
      <c r="F83" s="15"/>
      <c r="G83" s="15"/>
    </row>
    <row r="84" spans="1:7" ht="15" hidden="1" customHeight="1">
      <c r="D84" s="17"/>
    </row>
    <row r="85" spans="1:7" s="42" customFormat="1">
      <c r="A85" s="15"/>
      <c r="B85" s="15"/>
      <c r="C85" s="15"/>
      <c r="D85" s="17"/>
      <c r="E85" s="15"/>
      <c r="F85" s="15"/>
      <c r="G85" s="15"/>
    </row>
    <row r="86" spans="1:7" s="17" customFormat="1" ht="15" customHeight="1">
      <c r="A86" s="15"/>
      <c r="B86" s="15"/>
      <c r="C86" s="15"/>
      <c r="E86" s="15"/>
      <c r="F86" s="15"/>
      <c r="G86" s="15"/>
    </row>
  </sheetData>
  <mergeCells count="4">
    <mergeCell ref="A68:D71"/>
    <mergeCell ref="A1:C1"/>
    <mergeCell ref="E1:G1"/>
    <mergeCell ref="E57:G60"/>
  </mergeCells>
  <pageMargins left="0.7" right="0.7" top="0.75" bottom="0.75" header="0.3" footer="0.3"/>
  <pageSetup scale="60" orientation="portrait" r:id="rId1"/>
  <colBreaks count="1" manualBreakCount="1">
    <brk id="4" max="66" man="1"/>
  </colBreaks>
  <ignoredErrors>
    <ignoredError sqref="A60:A63" twoDigitTextYear="1"/>
  </ignoredErrors>
</worksheet>
</file>

<file path=xl/worksheets/sheet4.xml><?xml version="1.0" encoding="utf-8"?>
<worksheet xmlns="http://schemas.openxmlformats.org/spreadsheetml/2006/main" xmlns:r="http://schemas.openxmlformats.org/officeDocument/2006/relationships">
  <sheetPr codeName="Sheet6"/>
  <dimension ref="A1:U161"/>
  <sheetViews>
    <sheetView showWhiteSpace="0" view="pageBreakPreview" topLeftCell="C1" zoomScaleSheetLayoutView="100" workbookViewId="0">
      <selection activeCell="G53" sqref="G53"/>
    </sheetView>
  </sheetViews>
  <sheetFormatPr defaultRowHeight="15" outlineLevelCol="1"/>
  <cols>
    <col min="1" max="1" width="9.140625" style="15"/>
    <col min="2" max="3" width="20.5703125" style="15" customWidth="1" outlineLevel="1"/>
    <col min="4" max="4" width="20.5703125" style="15" customWidth="1"/>
    <col min="5" max="6" width="20.5703125" style="15" customWidth="1" outlineLevel="1"/>
    <col min="7" max="7" width="20.5703125" style="15" customWidth="1"/>
    <col min="8" max="8" width="8.140625" style="42" customWidth="1"/>
    <col min="9" max="9" width="9.140625" style="15"/>
    <col min="10" max="10" width="23.7109375" style="15" customWidth="1" outlineLevel="1"/>
    <col min="11" max="11" width="24.140625" style="15" customWidth="1" outlineLevel="1"/>
    <col min="12" max="12" width="10.85546875" style="15" customWidth="1" outlineLevel="1"/>
    <col min="13" max="13" width="15" style="15" customWidth="1" outlineLevel="1"/>
    <col min="14" max="14" width="32.42578125" style="15" customWidth="1"/>
    <col min="15" max="15" width="34.28515625" style="15" customWidth="1"/>
    <col min="16" max="19" width="0" style="15" hidden="1" customWidth="1"/>
    <col min="20" max="16384" width="9.140625" style="15"/>
  </cols>
  <sheetData>
    <row r="1" spans="1:21" ht="30" customHeight="1">
      <c r="A1" s="181" t="s">
        <v>208</v>
      </c>
      <c r="B1" s="181"/>
      <c r="C1" s="181"/>
      <c r="D1" s="181"/>
      <c r="E1" s="181"/>
      <c r="F1" s="181"/>
      <c r="G1" s="181"/>
      <c r="H1" s="181"/>
      <c r="I1" s="181" t="s">
        <v>171</v>
      </c>
      <c r="J1" s="181"/>
      <c r="K1" s="181"/>
      <c r="L1" s="181"/>
      <c r="M1" s="181"/>
      <c r="N1" s="181"/>
      <c r="O1" s="181"/>
    </row>
    <row r="2" spans="1:21">
      <c r="H2" s="9"/>
      <c r="L2" s="42"/>
    </row>
    <row r="3" spans="1:21" ht="60" customHeight="1">
      <c r="A3" s="113" t="s">
        <v>39</v>
      </c>
      <c r="B3" s="47" t="s">
        <v>110</v>
      </c>
      <c r="C3" s="47" t="s">
        <v>111</v>
      </c>
      <c r="D3" s="47" t="s">
        <v>109</v>
      </c>
      <c r="E3" s="47" t="s">
        <v>205</v>
      </c>
      <c r="F3" s="47" t="s">
        <v>206</v>
      </c>
      <c r="G3" s="47" t="s">
        <v>207</v>
      </c>
      <c r="H3" s="47"/>
      <c r="I3" s="113" t="s">
        <v>39</v>
      </c>
      <c r="J3" s="47" t="s">
        <v>112</v>
      </c>
      <c r="K3" s="47" t="s">
        <v>113</v>
      </c>
      <c r="L3" s="113"/>
      <c r="M3" s="47" t="s">
        <v>239</v>
      </c>
      <c r="N3" s="47" t="s">
        <v>149</v>
      </c>
      <c r="O3" s="47" t="s">
        <v>207</v>
      </c>
      <c r="P3" s="15" t="s">
        <v>53</v>
      </c>
      <c r="Q3" s="15" t="s">
        <v>54</v>
      </c>
    </row>
    <row r="4" spans="1:21" s="42" customFormat="1" ht="15" customHeight="1">
      <c r="A4" s="113"/>
      <c r="B4" s="47" t="s">
        <v>29</v>
      </c>
      <c r="C4" s="47" t="s">
        <v>30</v>
      </c>
      <c r="D4" s="47" t="s">
        <v>31</v>
      </c>
      <c r="E4" s="47" t="s">
        <v>32</v>
      </c>
      <c r="F4" s="47" t="s">
        <v>33</v>
      </c>
      <c r="G4" s="47" t="s">
        <v>34</v>
      </c>
      <c r="H4" s="47"/>
      <c r="I4" s="113"/>
      <c r="J4" s="47" t="s">
        <v>29</v>
      </c>
      <c r="K4" s="47" t="s">
        <v>30</v>
      </c>
      <c r="L4" s="113"/>
      <c r="M4" s="114"/>
      <c r="N4" s="47" t="s">
        <v>31</v>
      </c>
      <c r="O4" s="47" t="s">
        <v>32</v>
      </c>
    </row>
    <row r="5" spans="1:21" s="42" customFormat="1" ht="15" customHeight="1">
      <c r="A5" s="113"/>
      <c r="B5" s="47"/>
      <c r="C5" s="47"/>
      <c r="D5" s="47" t="s">
        <v>122</v>
      </c>
      <c r="E5" s="47"/>
      <c r="F5" s="47"/>
      <c r="G5" s="47" t="s">
        <v>121</v>
      </c>
      <c r="H5" s="47"/>
      <c r="I5" s="113"/>
      <c r="J5" s="47"/>
      <c r="K5" s="47"/>
      <c r="L5" s="113"/>
      <c r="M5" s="114"/>
      <c r="N5" s="47" t="s">
        <v>122</v>
      </c>
      <c r="O5" s="47"/>
    </row>
    <row r="6" spans="1:21">
      <c r="A6" s="13">
        <v>1969</v>
      </c>
      <c r="B6" s="51">
        <v>11.8</v>
      </c>
      <c r="C6" s="51">
        <v>5.7</v>
      </c>
      <c r="D6" s="51">
        <f>B6-C6</f>
        <v>6.1000000000000005</v>
      </c>
      <c r="E6" s="51">
        <v>62.7</v>
      </c>
      <c r="F6" s="51">
        <v>28.2</v>
      </c>
      <c r="G6" s="51">
        <f>E6-F6</f>
        <v>34.5</v>
      </c>
      <c r="H6" s="52"/>
      <c r="I6" s="13">
        <v>1981</v>
      </c>
      <c r="J6" s="45">
        <v>12136</v>
      </c>
      <c r="K6" s="45">
        <v>23552</v>
      </c>
      <c r="L6" s="106"/>
      <c r="M6" s="51">
        <v>45.050000000000004</v>
      </c>
      <c r="N6" s="45">
        <f>J6-K6</f>
        <v>-11416</v>
      </c>
      <c r="O6" s="51">
        <f>N6/M6</f>
        <v>-253.4073251942286</v>
      </c>
      <c r="P6" s="15" t="e">
        <f>#REF!/#REF!/10</f>
        <v>#REF!</v>
      </c>
      <c r="Q6" s="15" t="e">
        <f>#REF!/#REF!/10</f>
        <v>#REF!</v>
      </c>
      <c r="U6" s="42"/>
    </row>
    <row r="7" spans="1:21">
      <c r="A7" s="13">
        <v>1970</v>
      </c>
      <c r="B7" s="51">
        <v>12.8</v>
      </c>
      <c r="C7" s="51">
        <v>6.4</v>
      </c>
      <c r="D7" s="51">
        <f t="shared" ref="D7:D55" si="0">B7-C7</f>
        <v>6.4</v>
      </c>
      <c r="E7" s="51">
        <v>64.8</v>
      </c>
      <c r="F7" s="51">
        <v>30.6</v>
      </c>
      <c r="G7" s="51">
        <f t="shared" ref="G7:G55" si="1">E7-F7</f>
        <v>34.199999999999996</v>
      </c>
      <c r="H7" s="52"/>
      <c r="I7" s="13">
        <v>1982</v>
      </c>
      <c r="J7" s="45">
        <v>13248</v>
      </c>
      <c r="K7" s="45">
        <v>25199</v>
      </c>
      <c r="L7" s="106"/>
      <c r="M7" s="51">
        <v>43.25</v>
      </c>
      <c r="N7" s="45">
        <f t="shared" ref="N7:N40" si="2">J7-K7</f>
        <v>-11951</v>
      </c>
      <c r="O7" s="51">
        <f t="shared" ref="O7:O35" si="3">N7/M7</f>
        <v>-276.32369942196533</v>
      </c>
      <c r="P7" s="15" t="e">
        <f>#REF!/#REF!/10</f>
        <v>#REF!</v>
      </c>
      <c r="Q7" s="15" t="e">
        <f>#REF!/#REF!/10</f>
        <v>#REF!</v>
      </c>
      <c r="U7" s="42"/>
    </row>
    <row r="8" spans="1:21">
      <c r="A8" s="13">
        <v>1971</v>
      </c>
      <c r="B8" s="51">
        <v>14</v>
      </c>
      <c r="C8" s="51">
        <v>6.4</v>
      </c>
      <c r="D8" s="51">
        <f t="shared" si="0"/>
        <v>7.6</v>
      </c>
      <c r="E8" s="51">
        <v>67</v>
      </c>
      <c r="F8" s="51">
        <v>29</v>
      </c>
      <c r="G8" s="51">
        <f t="shared" si="1"/>
        <v>38</v>
      </c>
      <c r="H8" s="52"/>
      <c r="I8" s="13">
        <v>1983</v>
      </c>
      <c r="J8" s="45">
        <v>12236</v>
      </c>
      <c r="K8" s="45">
        <v>22729</v>
      </c>
      <c r="L8" s="106"/>
      <c r="M8" s="51">
        <v>44.65</v>
      </c>
      <c r="N8" s="45">
        <f t="shared" si="2"/>
        <v>-10493</v>
      </c>
      <c r="O8" s="51">
        <f t="shared" si="3"/>
        <v>-235.00559910414336</v>
      </c>
      <c r="P8" s="15" t="e">
        <f>#REF!/#REF!/10</f>
        <v>#REF!</v>
      </c>
      <c r="Q8" s="15" t="e">
        <f>#REF!/#REF!/10</f>
        <v>#REF!</v>
      </c>
      <c r="U8" s="42"/>
    </row>
    <row r="9" spans="1:21">
      <c r="A9" s="13">
        <v>1972</v>
      </c>
      <c r="B9" s="51">
        <v>16.3</v>
      </c>
      <c r="C9" s="51">
        <v>7.7</v>
      </c>
      <c r="D9" s="51">
        <f t="shared" si="0"/>
        <v>8.6000000000000014</v>
      </c>
      <c r="E9" s="51">
        <v>74.400000000000006</v>
      </c>
      <c r="F9" s="51">
        <v>33.4</v>
      </c>
      <c r="G9" s="51">
        <f t="shared" si="1"/>
        <v>41.000000000000007</v>
      </c>
      <c r="H9" s="52"/>
      <c r="I9" s="13">
        <v>1984</v>
      </c>
      <c r="J9" s="45">
        <v>14170</v>
      </c>
      <c r="K9" s="45">
        <v>26844</v>
      </c>
      <c r="L9" s="106"/>
      <c r="M9" s="51">
        <v>47.05</v>
      </c>
      <c r="N9" s="45">
        <f t="shared" si="2"/>
        <v>-12674</v>
      </c>
      <c r="O9" s="51">
        <f t="shared" si="3"/>
        <v>-269.37300743889483</v>
      </c>
      <c r="P9" s="15" t="e">
        <f>#REF!/#REF!/10</f>
        <v>#REF!</v>
      </c>
      <c r="Q9" s="15" t="e">
        <f>#REF!/#REF!/10</f>
        <v>#REF!</v>
      </c>
      <c r="U9" s="42"/>
    </row>
    <row r="10" spans="1:21">
      <c r="A10" s="13">
        <v>1973</v>
      </c>
      <c r="B10" s="51">
        <v>23.5</v>
      </c>
      <c r="C10" s="51">
        <v>10.9</v>
      </c>
      <c r="D10" s="51">
        <f t="shared" si="0"/>
        <v>12.6</v>
      </c>
      <c r="E10" s="51">
        <v>101</v>
      </c>
      <c r="F10" s="51">
        <v>44.7</v>
      </c>
      <c r="G10" s="51">
        <f t="shared" si="1"/>
        <v>56.3</v>
      </c>
      <c r="H10" s="52"/>
      <c r="I10" s="13">
        <v>1985</v>
      </c>
      <c r="J10" s="45">
        <v>15076</v>
      </c>
      <c r="K10" s="45">
        <v>27737</v>
      </c>
      <c r="L10" s="106"/>
      <c r="M10" s="51">
        <v>49.15</v>
      </c>
      <c r="N10" s="45">
        <f t="shared" si="2"/>
        <v>-12661</v>
      </c>
      <c r="O10" s="51">
        <f t="shared" si="3"/>
        <v>-257.59918616480161</v>
      </c>
      <c r="P10" s="15" t="e">
        <f>#REF!/#REF!/10</f>
        <v>#REF!</v>
      </c>
      <c r="Q10" s="15" t="e">
        <f>#REF!/#REF!/10</f>
        <v>#REF!</v>
      </c>
      <c r="U10" s="42"/>
    </row>
    <row r="11" spans="1:21">
      <c r="A11" s="13">
        <v>1974</v>
      </c>
      <c r="B11" s="51">
        <v>29.8</v>
      </c>
      <c r="C11" s="51">
        <v>14.3</v>
      </c>
      <c r="D11" s="51">
        <f t="shared" si="0"/>
        <v>15.5</v>
      </c>
      <c r="E11" s="51">
        <v>118.3</v>
      </c>
      <c r="F11" s="51">
        <v>53.5</v>
      </c>
      <c r="G11" s="51">
        <f t="shared" si="1"/>
        <v>64.8</v>
      </c>
      <c r="H11" s="52"/>
      <c r="I11" s="13">
        <v>1986</v>
      </c>
      <c r="J11" s="45">
        <v>17446</v>
      </c>
      <c r="K11" s="45">
        <v>29561</v>
      </c>
      <c r="L11" s="106"/>
      <c r="M11" s="51">
        <v>49.599999999999994</v>
      </c>
      <c r="N11" s="45">
        <f t="shared" si="2"/>
        <v>-12115</v>
      </c>
      <c r="O11" s="51">
        <f t="shared" si="3"/>
        <v>-244.25403225806454</v>
      </c>
      <c r="P11" s="15" t="e">
        <f>#REF!/#REF!/10</f>
        <v>#REF!</v>
      </c>
      <c r="Q11" s="15" t="e">
        <f>#REF!/#REF!/10</f>
        <v>#REF!</v>
      </c>
      <c r="U11" s="42"/>
    </row>
    <row r="12" spans="1:21">
      <c r="A12" s="13">
        <v>1975</v>
      </c>
      <c r="B12" s="51">
        <v>28</v>
      </c>
      <c r="C12" s="51">
        <v>15</v>
      </c>
      <c r="D12" s="51">
        <f t="shared" si="0"/>
        <v>13</v>
      </c>
      <c r="E12" s="51">
        <v>101.7</v>
      </c>
      <c r="F12" s="51">
        <v>51.8</v>
      </c>
      <c r="G12" s="51">
        <f t="shared" si="1"/>
        <v>49.900000000000006</v>
      </c>
      <c r="H12" s="52"/>
      <c r="I12" s="13">
        <v>1987</v>
      </c>
      <c r="J12" s="45">
        <v>17305</v>
      </c>
      <c r="K12" s="45">
        <v>29457</v>
      </c>
      <c r="L12" s="106"/>
      <c r="M12" s="51">
        <v>52.174999999999997</v>
      </c>
      <c r="N12" s="45">
        <f t="shared" si="2"/>
        <v>-12152</v>
      </c>
      <c r="O12" s="51">
        <f t="shared" si="3"/>
        <v>-232.90848107331098</v>
      </c>
      <c r="P12" s="15" t="e">
        <f>#REF!/#REF!/10</f>
        <v>#REF!</v>
      </c>
      <c r="Q12" s="15" t="e">
        <f>#REF!/#REF!/10</f>
        <v>#REF!</v>
      </c>
      <c r="U12" s="42"/>
    </row>
    <row r="13" spans="1:21">
      <c r="A13" s="13">
        <v>1976</v>
      </c>
      <c r="B13" s="51">
        <v>32.4</v>
      </c>
      <c r="C13" s="51">
        <v>15.5</v>
      </c>
      <c r="D13" s="51">
        <f t="shared" si="0"/>
        <v>16.899999999999999</v>
      </c>
      <c r="E13" s="51">
        <v>110.4</v>
      </c>
      <c r="F13" s="51">
        <v>51</v>
      </c>
      <c r="G13" s="51">
        <f t="shared" si="1"/>
        <v>59.400000000000006</v>
      </c>
      <c r="H13" s="52"/>
      <c r="I13" s="13">
        <v>1988</v>
      </c>
      <c r="J13" s="45">
        <v>19800</v>
      </c>
      <c r="K13" s="45">
        <v>35539</v>
      </c>
      <c r="L13" s="106"/>
      <c r="M13" s="51">
        <v>54.725000000000001</v>
      </c>
      <c r="N13" s="45">
        <f t="shared" si="2"/>
        <v>-15739</v>
      </c>
      <c r="O13" s="51">
        <f t="shared" si="3"/>
        <v>-287.60164458656919</v>
      </c>
      <c r="P13" s="15" t="e">
        <f>#REF!/#REF!/10</f>
        <v>#REF!</v>
      </c>
      <c r="Q13" s="15" t="e">
        <f>#REF!/#REF!/10</f>
        <v>#REF!</v>
      </c>
      <c r="U13" s="42"/>
    </row>
    <row r="14" spans="1:21">
      <c r="A14" s="13">
        <v>1977</v>
      </c>
      <c r="B14" s="51">
        <v>37.200000000000003</v>
      </c>
      <c r="C14" s="51">
        <v>16.899999999999999</v>
      </c>
      <c r="D14" s="51">
        <f t="shared" si="0"/>
        <v>20.300000000000004</v>
      </c>
      <c r="E14" s="51">
        <v>118.9</v>
      </c>
      <c r="F14" s="51">
        <v>52.1</v>
      </c>
      <c r="G14" s="51">
        <f t="shared" si="1"/>
        <v>66.800000000000011</v>
      </c>
      <c r="H14" s="52"/>
      <c r="I14" s="13">
        <v>1989</v>
      </c>
      <c r="J14" s="45">
        <v>22540</v>
      </c>
      <c r="K14" s="45">
        <v>37362</v>
      </c>
      <c r="L14" s="106"/>
      <c r="M14" s="51">
        <v>56.150000000000006</v>
      </c>
      <c r="N14" s="45">
        <f t="shared" si="2"/>
        <v>-14822</v>
      </c>
      <c r="O14" s="51">
        <f t="shared" si="3"/>
        <v>-263.97150489759571</v>
      </c>
      <c r="P14" s="15" t="e">
        <f>#REF!/#REF!/10</f>
        <v>#REF!</v>
      </c>
      <c r="Q14" s="15" t="e">
        <f>#REF!/#REF!/10</f>
        <v>#REF!</v>
      </c>
      <c r="U14" s="42"/>
    </row>
    <row r="15" spans="1:21">
      <c r="A15" s="13">
        <v>1978</v>
      </c>
      <c r="B15" s="51">
        <v>46.3</v>
      </c>
      <c r="C15" s="51">
        <v>24.7</v>
      </c>
      <c r="D15" s="51">
        <f t="shared" si="0"/>
        <v>21.599999999999998</v>
      </c>
      <c r="E15" s="51">
        <v>137.1</v>
      </c>
      <c r="F15" s="51">
        <v>70.400000000000006</v>
      </c>
      <c r="G15" s="51">
        <f t="shared" si="1"/>
        <v>66.699999999999989</v>
      </c>
      <c r="H15" s="52"/>
      <c r="I15" s="13">
        <v>1990</v>
      </c>
      <c r="J15" s="45">
        <v>24443</v>
      </c>
      <c r="K15" s="45">
        <v>41270</v>
      </c>
      <c r="L15" s="106"/>
      <c r="M15" s="51">
        <v>55.849999999999994</v>
      </c>
      <c r="N15" s="45">
        <f t="shared" si="2"/>
        <v>-16827</v>
      </c>
      <c r="O15" s="51">
        <f t="shared" si="3"/>
        <v>-301.28916741271263</v>
      </c>
      <c r="P15" s="15" t="e">
        <f>#REF!/#REF!/10</f>
        <v>#REF!</v>
      </c>
      <c r="Q15" s="15" t="e">
        <f>#REF!/#REF!/10</f>
        <v>#REF!</v>
      </c>
      <c r="U15" s="42"/>
    </row>
    <row r="16" spans="1:21">
      <c r="A16" s="13">
        <v>1979</v>
      </c>
      <c r="B16" s="51">
        <v>68.3</v>
      </c>
      <c r="C16" s="51">
        <v>36.4</v>
      </c>
      <c r="D16" s="51">
        <f t="shared" si="0"/>
        <v>31.9</v>
      </c>
      <c r="E16" s="51">
        <v>186.6</v>
      </c>
      <c r="F16" s="51">
        <v>95.6</v>
      </c>
      <c r="G16" s="51">
        <f t="shared" si="1"/>
        <v>91</v>
      </c>
      <c r="H16" s="52"/>
      <c r="I16" s="13">
        <v>1991</v>
      </c>
      <c r="J16" s="45">
        <v>22857</v>
      </c>
      <c r="K16" s="45">
        <v>38667</v>
      </c>
      <c r="L16" s="106"/>
      <c r="M16" s="51">
        <v>54.625</v>
      </c>
      <c r="N16" s="45">
        <f t="shared" si="2"/>
        <v>-15810</v>
      </c>
      <c r="O16" s="51">
        <f t="shared" si="3"/>
        <v>-289.42791762013729</v>
      </c>
      <c r="P16" s="15" t="e">
        <f>#REF!/#REF!/10</f>
        <v>#REF!</v>
      </c>
      <c r="Q16" s="15" t="e">
        <f>#REF!/#REF!/10</f>
        <v>#REF!</v>
      </c>
      <c r="U16" s="42"/>
    </row>
    <row r="17" spans="1:21">
      <c r="A17" s="13">
        <v>1980</v>
      </c>
      <c r="B17" s="51">
        <v>79.099999999999994</v>
      </c>
      <c r="C17" s="51">
        <v>44.9</v>
      </c>
      <c r="D17" s="51">
        <f t="shared" si="0"/>
        <v>34.199999999999996</v>
      </c>
      <c r="E17" s="51">
        <v>198.7</v>
      </c>
      <c r="F17" s="51">
        <v>108</v>
      </c>
      <c r="G17" s="51">
        <f t="shared" si="1"/>
        <v>90.699999999999989</v>
      </c>
      <c r="H17" s="52"/>
      <c r="I17" s="13">
        <v>1992</v>
      </c>
      <c r="J17" s="45">
        <v>25399</v>
      </c>
      <c r="K17" s="45">
        <v>39060</v>
      </c>
      <c r="L17" s="106"/>
      <c r="M17" s="51">
        <v>54.775000000000006</v>
      </c>
      <c r="N17" s="45">
        <f t="shared" si="2"/>
        <v>-13661</v>
      </c>
      <c r="O17" s="51">
        <f t="shared" si="3"/>
        <v>-249.40209949794612</v>
      </c>
      <c r="P17" s="15" t="e">
        <f>#REF!/#REF!/10</f>
        <v>#REF!</v>
      </c>
      <c r="Q17" s="15" t="e">
        <f>#REF!/#REF!/10</f>
        <v>#REF!</v>
      </c>
      <c r="U17" s="42"/>
    </row>
    <row r="18" spans="1:21">
      <c r="A18" s="13">
        <v>1981</v>
      </c>
      <c r="B18" s="51">
        <v>92</v>
      </c>
      <c r="C18" s="51">
        <v>59.1</v>
      </c>
      <c r="D18" s="51">
        <f t="shared" si="0"/>
        <v>32.9</v>
      </c>
      <c r="E18" s="51">
        <v>210.1</v>
      </c>
      <c r="F18" s="51">
        <v>129.5</v>
      </c>
      <c r="G18" s="51">
        <f t="shared" si="1"/>
        <v>80.599999999999994</v>
      </c>
      <c r="H18" s="52"/>
      <c r="I18" s="13">
        <v>1993</v>
      </c>
      <c r="J18" s="45">
        <v>25168</v>
      </c>
      <c r="K18" s="45">
        <v>39810</v>
      </c>
      <c r="L18" s="106"/>
      <c r="M18" s="51">
        <v>56.1</v>
      </c>
      <c r="N18" s="45">
        <f t="shared" si="2"/>
        <v>-14642</v>
      </c>
      <c r="O18" s="51">
        <f t="shared" si="3"/>
        <v>-260.99821746880571</v>
      </c>
      <c r="P18" s="15" t="e">
        <f>#REF!/#REF!/10</f>
        <v>#REF!</v>
      </c>
      <c r="Q18" s="15" t="e">
        <f>#REF!/#REF!/10</f>
        <v>#REF!</v>
      </c>
      <c r="U18" s="42"/>
    </row>
    <row r="19" spans="1:21">
      <c r="A19" s="13">
        <v>1982</v>
      </c>
      <c r="B19" s="51">
        <v>101</v>
      </c>
      <c r="C19" s="51">
        <v>64.5</v>
      </c>
      <c r="D19" s="51">
        <f t="shared" si="0"/>
        <v>36.5</v>
      </c>
      <c r="E19" s="51">
        <v>217.1</v>
      </c>
      <c r="F19" s="51">
        <v>132.9</v>
      </c>
      <c r="G19" s="51">
        <f t="shared" si="1"/>
        <v>84.199999999999989</v>
      </c>
      <c r="H19" s="52"/>
      <c r="I19" s="13">
        <v>1994</v>
      </c>
      <c r="J19" s="45">
        <v>28164</v>
      </c>
      <c r="K19" s="45">
        <v>45062</v>
      </c>
      <c r="L19" s="106"/>
      <c r="M19" s="51">
        <v>58.4</v>
      </c>
      <c r="N19" s="45">
        <f t="shared" si="2"/>
        <v>-16898</v>
      </c>
      <c r="O19" s="51">
        <f t="shared" si="3"/>
        <v>-289.34931506849318</v>
      </c>
      <c r="P19" s="15" t="e">
        <f>#REF!/#REF!/10</f>
        <v>#REF!</v>
      </c>
      <c r="Q19" s="15" t="e">
        <f>#REF!/#REF!/10</f>
        <v>#REF!</v>
      </c>
      <c r="U19" s="42"/>
    </row>
    <row r="20" spans="1:21">
      <c r="A20" s="13">
        <v>1983</v>
      </c>
      <c r="B20" s="51">
        <v>101.9</v>
      </c>
      <c r="C20" s="51">
        <v>64.8</v>
      </c>
      <c r="D20" s="51">
        <f t="shared" si="0"/>
        <v>37.100000000000009</v>
      </c>
      <c r="E20" s="51">
        <v>210.7</v>
      </c>
      <c r="F20" s="51">
        <v>129</v>
      </c>
      <c r="G20" s="51">
        <f t="shared" si="1"/>
        <v>81.699999999999989</v>
      </c>
      <c r="H20" s="52"/>
      <c r="I20" s="13">
        <v>1995</v>
      </c>
      <c r="J20" s="45">
        <v>28432</v>
      </c>
      <c r="K20" s="45">
        <v>49791</v>
      </c>
      <c r="L20" s="106"/>
      <c r="M20" s="51">
        <v>60.650000000000006</v>
      </c>
      <c r="N20" s="45">
        <f t="shared" si="2"/>
        <v>-21359</v>
      </c>
      <c r="O20" s="51">
        <f t="shared" si="3"/>
        <v>-352.16817807089859</v>
      </c>
      <c r="P20" s="15" t="e">
        <f>#REF!/#REF!/10</f>
        <v>#REF!</v>
      </c>
      <c r="Q20" s="15" t="e">
        <f>#REF!/#REF!/10</f>
        <v>#REF!</v>
      </c>
      <c r="U20" s="42"/>
    </row>
    <row r="21" spans="1:21">
      <c r="A21" s="13">
        <v>1984</v>
      </c>
      <c r="B21" s="51">
        <v>121.9</v>
      </c>
      <c r="C21" s="51">
        <v>85.6</v>
      </c>
      <c r="D21" s="51">
        <f t="shared" si="0"/>
        <v>36.300000000000011</v>
      </c>
      <c r="E21" s="51">
        <v>243.4</v>
      </c>
      <c r="F21" s="51">
        <v>164.8</v>
      </c>
      <c r="G21" s="51">
        <f t="shared" si="1"/>
        <v>78.599999999999994</v>
      </c>
      <c r="H21" s="52"/>
      <c r="I21" s="13">
        <v>1996</v>
      </c>
      <c r="J21" s="45">
        <v>28367</v>
      </c>
      <c r="K21" s="45">
        <v>50041</v>
      </c>
      <c r="L21" s="106"/>
      <c r="M21" s="51">
        <v>62.075000000000003</v>
      </c>
      <c r="N21" s="45">
        <f t="shared" si="2"/>
        <v>-21674</v>
      </c>
      <c r="O21" s="51">
        <f t="shared" si="3"/>
        <v>-349.1582762786951</v>
      </c>
      <c r="P21" s="15" t="e">
        <f>#REF!/#REF!/10</f>
        <v>#REF!</v>
      </c>
      <c r="Q21" s="15" t="e">
        <f>#REF!/#REF!/10</f>
        <v>#REF!</v>
      </c>
      <c r="U21" s="42"/>
    </row>
    <row r="22" spans="1:21">
      <c r="A22" s="13">
        <v>1985</v>
      </c>
      <c r="B22" s="51">
        <v>112.7</v>
      </c>
      <c r="C22" s="51">
        <v>87.3</v>
      </c>
      <c r="D22" s="51">
        <f t="shared" si="0"/>
        <v>25.400000000000006</v>
      </c>
      <c r="E22" s="51">
        <v>217.9</v>
      </c>
      <c r="F22" s="51">
        <v>162.80000000000001</v>
      </c>
      <c r="G22" s="51">
        <f t="shared" si="1"/>
        <v>55.099999999999994</v>
      </c>
      <c r="H22" s="52"/>
      <c r="I22" s="13">
        <v>1997</v>
      </c>
      <c r="J22" s="45">
        <v>27680</v>
      </c>
      <c r="K22" s="45">
        <v>54822</v>
      </c>
      <c r="L22" s="106"/>
      <c r="M22" s="51">
        <v>64.625</v>
      </c>
      <c r="N22" s="45">
        <f t="shared" si="2"/>
        <v>-27142</v>
      </c>
      <c r="O22" s="51">
        <f t="shared" si="3"/>
        <v>-419.99226305609284</v>
      </c>
      <c r="P22" s="15" t="e">
        <f>#REF!/#REF!/10</f>
        <v>#REF!</v>
      </c>
      <c r="Q22" s="15" t="e">
        <f>#REF!/#REF!/10</f>
        <v>#REF!</v>
      </c>
      <c r="U22" s="42"/>
    </row>
    <row r="23" spans="1:21">
      <c r="A23" s="13">
        <v>1986</v>
      </c>
      <c r="B23" s="51">
        <v>111.3</v>
      </c>
      <c r="C23" s="51">
        <v>94.4</v>
      </c>
      <c r="D23" s="51">
        <f t="shared" si="0"/>
        <v>16.899999999999991</v>
      </c>
      <c r="E23" s="51">
        <v>209.7</v>
      </c>
      <c r="F23" s="51">
        <v>171.9</v>
      </c>
      <c r="G23" s="51">
        <f t="shared" si="1"/>
        <v>37.799999999999983</v>
      </c>
      <c r="H23" s="52"/>
      <c r="I23" s="13">
        <v>1998</v>
      </c>
      <c r="J23" s="45">
        <v>31189</v>
      </c>
      <c r="K23" s="45">
        <v>57697</v>
      </c>
      <c r="L23" s="106"/>
      <c r="M23" s="51">
        <v>65.924999999999997</v>
      </c>
      <c r="N23" s="45">
        <f t="shared" si="2"/>
        <v>-26508</v>
      </c>
      <c r="O23" s="51">
        <f t="shared" si="3"/>
        <v>-402.09328782707627</v>
      </c>
      <c r="P23" s="15" t="e">
        <f>#REF!/#REF!/10</f>
        <v>#REF!</v>
      </c>
      <c r="Q23" s="15" t="e">
        <f>#REF!/#REF!/10</f>
        <v>#REF!</v>
      </c>
      <c r="U23" s="42"/>
    </row>
    <row r="24" spans="1:21">
      <c r="A24" s="13">
        <v>1987</v>
      </c>
      <c r="B24" s="51">
        <v>123.3</v>
      </c>
      <c r="C24" s="51">
        <v>105.8</v>
      </c>
      <c r="D24" s="51">
        <f t="shared" si="0"/>
        <v>17.5</v>
      </c>
      <c r="E24" s="51">
        <v>224.3</v>
      </c>
      <c r="F24" s="51">
        <v>188.2</v>
      </c>
      <c r="G24" s="51">
        <f t="shared" si="1"/>
        <v>36.100000000000023</v>
      </c>
      <c r="H24" s="52"/>
      <c r="I24" s="13">
        <v>1999</v>
      </c>
      <c r="J24" s="45">
        <v>33616</v>
      </c>
      <c r="K24" s="45">
        <v>58430</v>
      </c>
      <c r="L24" s="106"/>
      <c r="M24" s="51">
        <v>69.724999999999994</v>
      </c>
      <c r="N24" s="45">
        <f t="shared" si="2"/>
        <v>-24814</v>
      </c>
      <c r="O24" s="51">
        <f t="shared" si="3"/>
        <v>-355.88382932950879</v>
      </c>
      <c r="P24" s="15" t="e">
        <f>#REF!/#REF!/10</f>
        <v>#REF!</v>
      </c>
      <c r="Q24" s="15" t="e">
        <f>#REF!/#REF!/10</f>
        <v>#REF!</v>
      </c>
      <c r="U24" s="42"/>
    </row>
    <row r="25" spans="1:21">
      <c r="A25" s="13">
        <v>1988</v>
      </c>
      <c r="B25" s="51">
        <v>152.1</v>
      </c>
      <c r="C25" s="51">
        <v>129.5</v>
      </c>
      <c r="D25" s="51">
        <f t="shared" si="0"/>
        <v>22.599999999999994</v>
      </c>
      <c r="E25" s="51">
        <v>266.8</v>
      </c>
      <c r="F25" s="51">
        <v>222.4</v>
      </c>
      <c r="G25" s="51">
        <f t="shared" si="1"/>
        <v>44.400000000000006</v>
      </c>
      <c r="H25" s="52"/>
      <c r="I25" s="13">
        <v>2000</v>
      </c>
      <c r="J25" s="45">
        <v>28457</v>
      </c>
      <c r="K25" s="45">
        <v>57102</v>
      </c>
      <c r="L25" s="106"/>
      <c r="M25" s="51">
        <v>75.2</v>
      </c>
      <c r="N25" s="45">
        <f t="shared" si="2"/>
        <v>-28645</v>
      </c>
      <c r="O25" s="51">
        <f t="shared" si="3"/>
        <v>-380.91755319148933</v>
      </c>
      <c r="P25" s="15" t="e">
        <f>#REF!/#REF!/10</f>
        <v>#REF!</v>
      </c>
      <c r="Q25" s="15" t="e">
        <f>#REF!/#REF!/10</f>
        <v>#REF!</v>
      </c>
      <c r="S25" s="15">
        <f>C17/'5'!B15*100</f>
        <v>1.5714135722535258</v>
      </c>
      <c r="U25" s="42"/>
    </row>
    <row r="26" spans="1:21">
      <c r="A26" s="13">
        <v>1989</v>
      </c>
      <c r="B26" s="51">
        <v>177.7</v>
      </c>
      <c r="C26" s="51">
        <v>152.9</v>
      </c>
      <c r="D26" s="51">
        <f t="shared" si="0"/>
        <v>24.799999999999983</v>
      </c>
      <c r="E26" s="51">
        <v>299</v>
      </c>
      <c r="F26" s="51">
        <v>253</v>
      </c>
      <c r="G26" s="51">
        <f t="shared" si="1"/>
        <v>46</v>
      </c>
      <c r="H26" s="52"/>
      <c r="I26" s="13">
        <v>2001</v>
      </c>
      <c r="J26" s="45">
        <v>31710</v>
      </c>
      <c r="K26" s="45">
        <v>54949</v>
      </c>
      <c r="L26" s="106"/>
      <c r="M26" s="51">
        <v>76.075000000000003</v>
      </c>
      <c r="N26" s="45">
        <f t="shared" si="2"/>
        <v>-23239</v>
      </c>
      <c r="O26" s="51">
        <f t="shared" si="3"/>
        <v>-305.4748603351955</v>
      </c>
      <c r="P26" s="15" t="e">
        <f>#REF!/#REF!/10</f>
        <v>#REF!</v>
      </c>
      <c r="Q26" s="15" t="e">
        <f>#REF!/#REF!/10</f>
        <v>#REF!</v>
      </c>
      <c r="S26" s="15">
        <f>C18/'5'!B16*100</f>
        <v>1.8428437792329282</v>
      </c>
      <c r="U26" s="42"/>
    </row>
    <row r="27" spans="1:21">
      <c r="A27" s="13">
        <v>1990</v>
      </c>
      <c r="B27" s="51">
        <v>188.8</v>
      </c>
      <c r="C27" s="51">
        <v>154.19999999999999</v>
      </c>
      <c r="D27" s="51">
        <f t="shared" si="0"/>
        <v>34.600000000000023</v>
      </c>
      <c r="E27" s="51">
        <v>303.8</v>
      </c>
      <c r="F27" s="51">
        <v>245.2</v>
      </c>
      <c r="G27" s="51">
        <f t="shared" si="1"/>
        <v>58.600000000000023</v>
      </c>
      <c r="H27" s="52"/>
      <c r="I27" s="13">
        <v>2002</v>
      </c>
      <c r="J27" s="45">
        <v>29834</v>
      </c>
      <c r="K27" s="45">
        <v>52434</v>
      </c>
      <c r="L27" s="106"/>
      <c r="M27" s="51">
        <v>77.775000000000006</v>
      </c>
      <c r="N27" s="45">
        <f t="shared" si="2"/>
        <v>-22600</v>
      </c>
      <c r="O27" s="51">
        <f t="shared" si="3"/>
        <v>-290.581806493089</v>
      </c>
      <c r="P27" s="15" t="e">
        <f>#REF!/#REF!/10</f>
        <v>#REF!</v>
      </c>
      <c r="Q27" s="15" t="e">
        <f>#REF!/#REF!/10</f>
        <v>#REF!</v>
      </c>
      <c r="S27" s="15">
        <f>C19/'5'!B17*100</f>
        <v>1.9289431186075721</v>
      </c>
      <c r="U27" s="42"/>
    </row>
    <row r="28" spans="1:21">
      <c r="A28" s="13">
        <v>1991</v>
      </c>
      <c r="B28" s="51">
        <v>168.4</v>
      </c>
      <c r="C28" s="51">
        <v>136.80000000000001</v>
      </c>
      <c r="D28" s="51">
        <f t="shared" si="0"/>
        <v>31.599999999999994</v>
      </c>
      <c r="E28" s="51">
        <v>261.2</v>
      </c>
      <c r="F28" s="51">
        <v>211.2</v>
      </c>
      <c r="G28" s="51">
        <f t="shared" si="1"/>
        <v>50</v>
      </c>
      <c r="H28" s="52"/>
      <c r="I28" s="13">
        <v>2003</v>
      </c>
      <c r="J28" s="45">
        <v>30256</v>
      </c>
      <c r="K28" s="45">
        <v>50269</v>
      </c>
      <c r="L28" s="106"/>
      <c r="M28" s="51">
        <v>80.650000000000006</v>
      </c>
      <c r="N28" s="45">
        <f t="shared" si="2"/>
        <v>-20013</v>
      </c>
      <c r="O28" s="51">
        <f t="shared" si="3"/>
        <v>-248.1463112213267</v>
      </c>
      <c r="P28" s="15" t="e">
        <f>#REF!/#REF!/10</f>
        <v>#REF!</v>
      </c>
      <c r="Q28" s="15" t="e">
        <f>#REF!/#REF!/10</f>
        <v>#REF!</v>
      </c>
      <c r="S28" s="15">
        <f>C20/'5'!B18*100</f>
        <v>1.7831590533846999</v>
      </c>
      <c r="U28" s="42"/>
    </row>
    <row r="29" spans="1:21">
      <c r="A29" s="13">
        <v>1992</v>
      </c>
      <c r="B29" s="51">
        <v>152.1</v>
      </c>
      <c r="C29" s="51">
        <v>121</v>
      </c>
      <c r="D29" s="51">
        <f t="shared" si="0"/>
        <v>31.099999999999994</v>
      </c>
      <c r="E29" s="51">
        <v>229.7</v>
      </c>
      <c r="F29" s="51">
        <v>181.5</v>
      </c>
      <c r="G29" s="51">
        <f t="shared" si="1"/>
        <v>48.199999999999989</v>
      </c>
      <c r="H29" s="52"/>
      <c r="I29" s="13">
        <v>2004</v>
      </c>
      <c r="J29" s="45">
        <v>28187</v>
      </c>
      <c r="K29" s="45">
        <v>51115</v>
      </c>
      <c r="L29" s="106"/>
      <c r="M29" s="51">
        <v>84.6</v>
      </c>
      <c r="N29" s="45">
        <f t="shared" si="2"/>
        <v>-22928</v>
      </c>
      <c r="O29" s="51">
        <f t="shared" si="3"/>
        <v>-271.01654846335697</v>
      </c>
      <c r="P29" s="15" t="e">
        <f>#REF!/#REF!/10</f>
        <v>#REF!</v>
      </c>
      <c r="Q29" s="15" t="e">
        <f>#REF!/#REF!/10</f>
        <v>#REF!</v>
      </c>
      <c r="S29" s="15">
        <f>C21/'5'!B19*100</f>
        <v>2.1200713295026747</v>
      </c>
      <c r="U29" s="42"/>
    </row>
    <row r="30" spans="1:21">
      <c r="A30" s="13">
        <v>1993</v>
      </c>
      <c r="B30" s="51">
        <v>155.6</v>
      </c>
      <c r="C30" s="51">
        <v>124.4</v>
      </c>
      <c r="D30" s="51">
        <f t="shared" si="0"/>
        <v>31.199999999999989</v>
      </c>
      <c r="E30" s="51">
        <v>229</v>
      </c>
      <c r="F30" s="51">
        <v>181.5</v>
      </c>
      <c r="G30" s="51">
        <f t="shared" si="1"/>
        <v>47.5</v>
      </c>
      <c r="H30" s="52"/>
      <c r="I30" s="13">
        <v>2005</v>
      </c>
      <c r="J30" s="45">
        <v>28238</v>
      </c>
      <c r="K30" s="45">
        <v>60263</v>
      </c>
      <c r="L30" s="106"/>
      <c r="M30" s="51">
        <v>88.425000000000011</v>
      </c>
      <c r="N30" s="45">
        <f t="shared" si="2"/>
        <v>-32025</v>
      </c>
      <c r="O30" s="51">
        <f t="shared" si="3"/>
        <v>-362.17133163698043</v>
      </c>
      <c r="P30" s="15" t="e">
        <f>#REF!/#REF!/10</f>
        <v>#REF!</v>
      </c>
      <c r="Q30" s="15" t="e">
        <f>#REF!/#REF!/10</f>
        <v>#REF!</v>
      </c>
      <c r="S30" s="15">
        <f>C22/'5'!B20*100</f>
        <v>2.0119843281862182</v>
      </c>
      <c r="U30" s="42"/>
    </row>
    <row r="31" spans="1:21">
      <c r="A31" s="13">
        <v>1994</v>
      </c>
      <c r="B31" s="51">
        <v>184.5</v>
      </c>
      <c r="C31" s="51">
        <v>161.6</v>
      </c>
      <c r="D31" s="51">
        <f t="shared" si="0"/>
        <v>22.900000000000006</v>
      </c>
      <c r="E31" s="51">
        <v>265.3</v>
      </c>
      <c r="F31" s="51">
        <v>229.8</v>
      </c>
      <c r="G31" s="51">
        <f t="shared" si="1"/>
        <v>35.5</v>
      </c>
      <c r="H31" s="52"/>
      <c r="I31" s="13">
        <v>2006</v>
      </c>
      <c r="J31" s="45">
        <v>22874</v>
      </c>
      <c r="K31" s="45">
        <v>69527</v>
      </c>
      <c r="L31" s="106"/>
      <c r="M31" s="51">
        <v>91.424999999999997</v>
      </c>
      <c r="N31" s="45">
        <f t="shared" si="2"/>
        <v>-46653</v>
      </c>
      <c r="O31" s="51">
        <f t="shared" si="3"/>
        <v>-510.2871205906481</v>
      </c>
      <c r="P31" s="15" t="e">
        <f>#REF!/#REF!/10</f>
        <v>#REF!</v>
      </c>
      <c r="Q31" s="15" t="e">
        <f>#REF!/#REF!/10</f>
        <v>#REF!</v>
      </c>
      <c r="S31" s="15">
        <f>C23/'5'!B21*100</f>
        <v>2.0613153987247794</v>
      </c>
      <c r="U31" s="42"/>
    </row>
    <row r="32" spans="1:21">
      <c r="A32" s="13">
        <v>1995</v>
      </c>
      <c r="B32" s="51">
        <v>229.8</v>
      </c>
      <c r="C32" s="51">
        <v>201.9</v>
      </c>
      <c r="D32" s="51">
        <f t="shared" si="0"/>
        <v>27.900000000000006</v>
      </c>
      <c r="E32" s="51">
        <v>322.89999999999998</v>
      </c>
      <c r="F32" s="51">
        <v>281.60000000000002</v>
      </c>
      <c r="G32" s="51">
        <f t="shared" si="1"/>
        <v>41.299999999999955</v>
      </c>
      <c r="H32" s="52"/>
      <c r="I32" s="13">
        <v>2007</v>
      </c>
      <c r="J32" s="45">
        <v>21856</v>
      </c>
      <c r="K32" s="45">
        <v>74180</v>
      </c>
      <c r="L32" s="106"/>
      <c r="M32" s="51">
        <v>94.275000000000006</v>
      </c>
      <c r="N32" s="45">
        <f t="shared" si="2"/>
        <v>-52324</v>
      </c>
      <c r="O32" s="51">
        <f t="shared" si="3"/>
        <v>-555.01458499071862</v>
      </c>
      <c r="P32" s="15" t="e">
        <f>#REF!/#REF!/10</f>
        <v>#REF!</v>
      </c>
      <c r="Q32" s="15" t="e">
        <f>#REF!/#REF!/10</f>
        <v>#REF!</v>
      </c>
      <c r="S32" s="15">
        <f>C24/'5'!B22*100</f>
        <v>2.1791069368924041</v>
      </c>
      <c r="U32" s="42"/>
    </row>
    <row r="33" spans="1:21">
      <c r="A33" s="13">
        <v>1996</v>
      </c>
      <c r="B33" s="51">
        <v>246.4</v>
      </c>
      <c r="C33" s="51">
        <v>215.5</v>
      </c>
      <c r="D33" s="51">
        <f t="shared" si="0"/>
        <v>30.900000000000006</v>
      </c>
      <c r="E33" s="51">
        <v>339.9</v>
      </c>
      <c r="F33" s="51">
        <v>295.60000000000002</v>
      </c>
      <c r="G33" s="51">
        <f t="shared" si="1"/>
        <v>44.299999999999955</v>
      </c>
      <c r="H33" s="52"/>
      <c r="I33" s="13">
        <v>2008</v>
      </c>
      <c r="J33" s="45">
        <v>22727</v>
      </c>
      <c r="K33" s="45">
        <v>73592</v>
      </c>
      <c r="L33" s="106"/>
      <c r="M33" s="51">
        <v>96.600000000000009</v>
      </c>
      <c r="N33" s="45">
        <f t="shared" si="2"/>
        <v>-50865</v>
      </c>
      <c r="O33" s="51">
        <f t="shared" si="3"/>
        <v>-526.55279503105589</v>
      </c>
      <c r="P33" s="15" t="e">
        <f>#REF!/#REF!/10</f>
        <v>#REF!</v>
      </c>
      <c r="Q33" s="15" t="e">
        <f>#REF!/#REF!/10</f>
        <v>#REF!</v>
      </c>
      <c r="S33" s="15">
        <f>C25/'5'!B23*100</f>
        <v>2.4730731036590026</v>
      </c>
      <c r="U33" s="42"/>
    </row>
    <row r="34" spans="1:21">
      <c r="A34" s="13">
        <v>1997</v>
      </c>
      <c r="B34" s="51">
        <v>280.10000000000002</v>
      </c>
      <c r="C34" s="51">
        <v>256.8</v>
      </c>
      <c r="D34" s="51">
        <f t="shared" si="0"/>
        <v>23.300000000000011</v>
      </c>
      <c r="E34" s="51">
        <v>379.9</v>
      </c>
      <c r="F34" s="51">
        <v>346.3</v>
      </c>
      <c r="G34" s="51">
        <f t="shared" si="1"/>
        <v>33.599999999999966</v>
      </c>
      <c r="H34" s="52"/>
      <c r="I34" s="13">
        <v>2009</v>
      </c>
      <c r="J34" s="45">
        <v>25539</v>
      </c>
      <c r="K34" s="45">
        <v>64902</v>
      </c>
      <c r="L34" s="106"/>
      <c r="M34" s="51">
        <v>90.575000000000003</v>
      </c>
      <c r="N34" s="45">
        <f t="shared" si="2"/>
        <v>-39363</v>
      </c>
      <c r="O34" s="51">
        <f t="shared" si="3"/>
        <v>-434.59011868617165</v>
      </c>
      <c r="P34" s="15" t="e">
        <f>#REF!/#REF!/10</f>
        <v>#REF!</v>
      </c>
      <c r="Q34" s="15" t="e">
        <f>#REF!/#REF!/10</f>
        <v>#REF!</v>
      </c>
      <c r="S34" s="15">
        <f>C26/'5'!B24*100</f>
        <v>2.7102240499149177</v>
      </c>
      <c r="U34" s="42"/>
    </row>
    <row r="35" spans="1:21">
      <c r="A35" s="13">
        <v>1998</v>
      </c>
      <c r="B35" s="51">
        <v>286.8</v>
      </c>
      <c r="C35" s="51">
        <v>269.39999999999998</v>
      </c>
      <c r="D35" s="51">
        <f t="shared" si="0"/>
        <v>17.400000000000034</v>
      </c>
      <c r="E35" s="51">
        <v>385.8</v>
      </c>
      <c r="F35" s="51">
        <v>360.9</v>
      </c>
      <c r="G35" s="51">
        <f t="shared" si="1"/>
        <v>24.900000000000034</v>
      </c>
      <c r="H35" s="52"/>
      <c r="I35" s="165">
        <v>2010</v>
      </c>
      <c r="J35" s="45">
        <v>31185</v>
      </c>
      <c r="K35" s="45">
        <v>71268</v>
      </c>
      <c r="L35" s="107"/>
      <c r="M35" s="51">
        <v>94.6</v>
      </c>
      <c r="N35" s="45">
        <f t="shared" si="2"/>
        <v>-40083</v>
      </c>
      <c r="O35" s="51">
        <f t="shared" si="3"/>
        <v>-423.71035940803387</v>
      </c>
      <c r="P35" s="15" t="e">
        <f>#REF!/#REF!/10</f>
        <v>#REF!</v>
      </c>
      <c r="Q35" s="15" t="e">
        <f>#REF!/#REF!/10</f>
        <v>#REF!</v>
      </c>
      <c r="S35" s="15">
        <f>C27/'5'!B25*100</f>
        <v>2.5859033053277654</v>
      </c>
      <c r="U35" s="42"/>
    </row>
    <row r="36" spans="1:21">
      <c r="A36" s="13">
        <v>1999</v>
      </c>
      <c r="B36" s="51">
        <v>320.2</v>
      </c>
      <c r="C36" s="51">
        <v>294.7</v>
      </c>
      <c r="D36" s="51">
        <f t="shared" si="0"/>
        <v>25.5</v>
      </c>
      <c r="E36" s="51">
        <v>424</v>
      </c>
      <c r="F36" s="51">
        <v>388.1</v>
      </c>
      <c r="G36" s="51">
        <f t="shared" si="1"/>
        <v>35.899999999999977</v>
      </c>
      <c r="H36" s="52"/>
      <c r="I36" s="165">
        <v>2011</v>
      </c>
      <c r="J36" s="45">
        <v>31609</v>
      </c>
      <c r="K36" s="45">
        <v>73240</v>
      </c>
      <c r="L36" s="115"/>
      <c r="M36" s="51">
        <v>98.574999999999989</v>
      </c>
      <c r="N36" s="45">
        <f t="shared" si="2"/>
        <v>-41631</v>
      </c>
      <c r="O36" s="51">
        <f>N36/M36</f>
        <v>-422.32817651534367</v>
      </c>
      <c r="P36" s="15" t="e">
        <f>#REF!/#REF!/10</f>
        <v>#REF!</v>
      </c>
      <c r="Q36" s="15" t="e">
        <f>#REF!/#REF!/10</f>
        <v>#REF!</v>
      </c>
      <c r="S36" s="15">
        <f>C28/'5'!B26*100</f>
        <v>2.2214644127247043</v>
      </c>
      <c r="U36" s="42"/>
    </row>
    <row r="37" spans="1:21">
      <c r="A37" s="13">
        <v>2000</v>
      </c>
      <c r="B37" s="51">
        <v>380.6</v>
      </c>
      <c r="C37" s="51">
        <v>345.6</v>
      </c>
      <c r="D37" s="51">
        <f t="shared" si="0"/>
        <v>35</v>
      </c>
      <c r="E37" s="51">
        <v>491.4</v>
      </c>
      <c r="F37" s="51">
        <v>443.4</v>
      </c>
      <c r="G37" s="51">
        <f t="shared" si="1"/>
        <v>48</v>
      </c>
      <c r="H37" s="52"/>
      <c r="I37" s="165">
        <v>2012</v>
      </c>
      <c r="J37" s="45">
        <v>30499</v>
      </c>
      <c r="K37" s="45">
        <v>74550</v>
      </c>
      <c r="L37" s="9"/>
      <c r="M37" s="51">
        <v>100</v>
      </c>
      <c r="N37" s="45">
        <f t="shared" si="2"/>
        <v>-44051</v>
      </c>
      <c r="O37" s="51">
        <f>N37/M37</f>
        <v>-440.51</v>
      </c>
      <c r="P37" s="15" t="e">
        <f>#REF!/#REF!/10</f>
        <v>#REF!</v>
      </c>
      <c r="Q37" s="15" t="e">
        <f>#REF!/#REF!/10</f>
        <v>#REF!</v>
      </c>
      <c r="S37" s="15">
        <f>C29/'5'!B27*100</f>
        <v>1.8557428339186846</v>
      </c>
    </row>
    <row r="38" spans="1:21">
      <c r="A38" s="13">
        <v>2001</v>
      </c>
      <c r="B38" s="51">
        <v>324.10000000000002</v>
      </c>
      <c r="C38" s="51">
        <v>275.3</v>
      </c>
      <c r="D38" s="51">
        <f t="shared" si="0"/>
        <v>48.800000000000011</v>
      </c>
      <c r="E38" s="51">
        <v>410.7</v>
      </c>
      <c r="F38" s="51">
        <v>346.8</v>
      </c>
      <c r="G38" s="51">
        <f t="shared" si="1"/>
        <v>63.899999999999977</v>
      </c>
      <c r="H38" s="52"/>
      <c r="I38" s="165">
        <v>2013</v>
      </c>
      <c r="J38" s="45">
        <v>26974</v>
      </c>
      <c r="K38" s="45">
        <v>75323</v>
      </c>
      <c r="L38" s="9"/>
      <c r="M38" s="51">
        <v>102.77500000000001</v>
      </c>
      <c r="N38" s="45">
        <f t="shared" si="2"/>
        <v>-48349</v>
      </c>
      <c r="O38" s="51">
        <f>N38/M38</f>
        <v>-470.43541717343709</v>
      </c>
      <c r="P38" s="15" t="e">
        <f>#REF!/#REF!/10</f>
        <v>#REF!</v>
      </c>
      <c r="Q38" s="15" t="e">
        <f>#REF!/#REF!/10</f>
        <v>#REF!</v>
      </c>
      <c r="S38" s="15">
        <f>C30/'5'!B28*100</f>
        <v>1.8137812381535592</v>
      </c>
    </row>
    <row r="39" spans="1:21">
      <c r="A39" s="13">
        <v>2002</v>
      </c>
      <c r="B39" s="51">
        <v>314.8</v>
      </c>
      <c r="C39" s="51">
        <v>269.60000000000002</v>
      </c>
      <c r="D39" s="51">
        <f t="shared" si="0"/>
        <v>45.199999999999989</v>
      </c>
      <c r="E39" s="51">
        <v>393.3</v>
      </c>
      <c r="F39" s="51">
        <v>334.9</v>
      </c>
      <c r="G39" s="51">
        <f t="shared" si="1"/>
        <v>58.400000000000034</v>
      </c>
      <c r="H39" s="52"/>
      <c r="I39" s="165">
        <v>2014</v>
      </c>
      <c r="J39" s="119">
        <v>30019</v>
      </c>
      <c r="K39" s="119">
        <v>84101</v>
      </c>
      <c r="L39" s="166"/>
      <c r="M39" s="164">
        <v>105.15</v>
      </c>
      <c r="N39" s="119">
        <f t="shared" si="2"/>
        <v>-54082</v>
      </c>
      <c r="O39" s="51">
        <f>N39/M39</f>
        <v>-514.33190679980976</v>
      </c>
      <c r="P39" s="15" t="e">
        <f>#REF!/#REF!/10</f>
        <v>#REF!</v>
      </c>
      <c r="Q39" s="15" t="e">
        <f>#REF!/#REF!/10</f>
        <v>#REF!</v>
      </c>
      <c r="S39" s="15">
        <f>C31/'5'!B29*100</f>
        <v>2.2175870018662858</v>
      </c>
    </row>
    <row r="40" spans="1:21">
      <c r="A40" s="13">
        <v>2003</v>
      </c>
      <c r="B40" s="51">
        <v>353.8</v>
      </c>
      <c r="C40" s="51">
        <v>295.39999999999998</v>
      </c>
      <c r="D40" s="51">
        <f t="shared" si="0"/>
        <v>58.400000000000034</v>
      </c>
      <c r="E40" s="51">
        <v>433</v>
      </c>
      <c r="F40" s="51">
        <v>359.6</v>
      </c>
      <c r="G40" s="51">
        <f t="shared" si="1"/>
        <v>73.399999999999977</v>
      </c>
      <c r="H40" s="52"/>
      <c r="I40" s="13">
        <v>2015</v>
      </c>
      <c r="J40" s="45">
        <v>28389</v>
      </c>
      <c r="K40" s="45">
        <v>90645</v>
      </c>
      <c r="L40" s="45"/>
      <c r="M40" s="51">
        <v>103.5</v>
      </c>
      <c r="N40" s="45">
        <f t="shared" si="2"/>
        <v>-62256</v>
      </c>
      <c r="O40" s="52">
        <f>N40/M40</f>
        <v>-601.50724637681162</v>
      </c>
      <c r="P40" s="15" t="e">
        <f>#REF!/#REF!/10</f>
        <v>#REF!</v>
      </c>
      <c r="Q40" s="15" t="e">
        <f>#REF!/#REF!/10</f>
        <v>#REF!</v>
      </c>
      <c r="S40" s="15">
        <f>C32/'5'!B30*100</f>
        <v>2.6427739309135179</v>
      </c>
    </row>
    <row r="41" spans="1:21">
      <c r="A41" s="13">
        <v>2004</v>
      </c>
      <c r="B41" s="51">
        <v>446.9</v>
      </c>
      <c r="C41" s="51">
        <v>368.8</v>
      </c>
      <c r="D41" s="51">
        <f t="shared" si="0"/>
        <v>78.099999999999966</v>
      </c>
      <c r="E41" s="51">
        <v>531.6</v>
      </c>
      <c r="F41" s="51">
        <v>436.1</v>
      </c>
      <c r="G41" s="51">
        <f t="shared" si="1"/>
        <v>95.5</v>
      </c>
      <c r="H41" s="52"/>
      <c r="I41" s="165">
        <v>2016</v>
      </c>
      <c r="J41" s="45">
        <v>22078</v>
      </c>
      <c r="K41" s="45">
        <v>89176</v>
      </c>
      <c r="L41" s="9"/>
      <c r="M41" s="51">
        <v>104.6</v>
      </c>
      <c r="N41" s="45">
        <f t="shared" ref="N41:N43" si="4">J41-K41</f>
        <v>-67098</v>
      </c>
      <c r="O41" s="52">
        <f t="shared" ref="O41:O43" si="5">N41/M41</f>
        <v>-641.47227533460807</v>
      </c>
      <c r="P41" s="15" t="e">
        <f>#REF!/#REF!/10</f>
        <v>#REF!</v>
      </c>
      <c r="Q41" s="15" t="e">
        <f>#REF!/#REF!/10</f>
        <v>#REF!</v>
      </c>
      <c r="S41" s="15">
        <f>C33/'5'!B31*100</f>
        <v>2.6693587345629313</v>
      </c>
    </row>
    <row r="42" spans="1:21">
      <c r="A42" s="13">
        <v>2005</v>
      </c>
      <c r="B42" s="51">
        <v>566</v>
      </c>
      <c r="C42" s="51">
        <v>488.1</v>
      </c>
      <c r="D42" s="51">
        <f t="shared" si="0"/>
        <v>77.899999999999977</v>
      </c>
      <c r="E42" s="51">
        <v>650.79999999999995</v>
      </c>
      <c r="F42" s="51">
        <v>557.70000000000005</v>
      </c>
      <c r="G42" s="51">
        <f t="shared" si="1"/>
        <v>93.099999999999909</v>
      </c>
      <c r="H42" s="52"/>
      <c r="I42" s="13">
        <v>2017</v>
      </c>
      <c r="J42" s="119">
        <v>20766</v>
      </c>
      <c r="K42" s="119">
        <v>97292</v>
      </c>
      <c r="L42" s="9"/>
      <c r="M42" s="51">
        <v>108.95</v>
      </c>
      <c r="N42" s="45">
        <f t="shared" si="4"/>
        <v>-76526</v>
      </c>
      <c r="O42" s="52">
        <f t="shared" si="5"/>
        <v>-702.39559430931615</v>
      </c>
      <c r="P42" s="15" t="e">
        <f>#REF!/#REF!/10</f>
        <v>#REF!</v>
      </c>
      <c r="Q42" s="15" t="e">
        <f>#REF!/#REF!/10</f>
        <v>#REF!</v>
      </c>
      <c r="S42" s="15">
        <f>C34/'5'!B32*100</f>
        <v>2.9938444320089537</v>
      </c>
    </row>
    <row r="43" spans="1:21">
      <c r="A43" s="13">
        <v>2006</v>
      </c>
      <c r="B43" s="51">
        <v>712</v>
      </c>
      <c r="C43" s="51">
        <v>661.5</v>
      </c>
      <c r="D43" s="51">
        <f t="shared" si="0"/>
        <v>50.5</v>
      </c>
      <c r="E43" s="51">
        <v>793.8</v>
      </c>
      <c r="F43" s="51">
        <v>733.1</v>
      </c>
      <c r="G43" s="51">
        <f t="shared" si="1"/>
        <v>60.699999999999932</v>
      </c>
      <c r="H43" s="52"/>
      <c r="I43" s="165">
        <v>2018</v>
      </c>
      <c r="J43" s="45">
        <v>26148</v>
      </c>
      <c r="K43" s="45">
        <v>110769</v>
      </c>
      <c r="L43" s="9"/>
      <c r="M43" s="51">
        <v>110.875</v>
      </c>
      <c r="N43" s="45">
        <f t="shared" si="4"/>
        <v>-84621</v>
      </c>
      <c r="O43" s="52">
        <f t="shared" si="5"/>
        <v>-763.21082299887257</v>
      </c>
      <c r="P43" s="15" t="e">
        <f>#REF!/#REF!/10</f>
        <v>#REF!</v>
      </c>
      <c r="Q43" s="15" t="e">
        <f>#REF!/#REF!/10</f>
        <v>#REF!</v>
      </c>
      <c r="S43" s="15">
        <f>C35/'5'!B33*100</f>
        <v>2.9725912521516529</v>
      </c>
    </row>
    <row r="44" spans="1:21">
      <c r="A44" s="13">
        <v>2007</v>
      </c>
      <c r="B44" s="51">
        <v>866.6</v>
      </c>
      <c r="C44" s="51">
        <v>757.6</v>
      </c>
      <c r="D44" s="51">
        <f t="shared" si="0"/>
        <v>109</v>
      </c>
      <c r="E44" s="51">
        <v>940.9</v>
      </c>
      <c r="F44" s="51">
        <v>817.7</v>
      </c>
      <c r="G44" s="51">
        <f t="shared" si="1"/>
        <v>123.19999999999993</v>
      </c>
      <c r="H44" s="52"/>
      <c r="P44" s="15" t="e">
        <f>#REF!/#REF!/10</f>
        <v>#REF!</v>
      </c>
      <c r="Q44" s="15" t="e">
        <f>#REF!/#REF!/10</f>
        <v>#REF!</v>
      </c>
      <c r="S44" s="15">
        <f>C36/'5'!B34*100</f>
        <v>3.0600060224075092</v>
      </c>
    </row>
    <row r="45" spans="1:21">
      <c r="A45" s="13">
        <v>2008</v>
      </c>
      <c r="B45" s="51">
        <v>848.8</v>
      </c>
      <c r="C45" s="51">
        <v>694.2</v>
      </c>
      <c r="D45" s="51">
        <f t="shared" si="0"/>
        <v>154.59999999999991</v>
      </c>
      <c r="E45" s="51">
        <v>896.3</v>
      </c>
      <c r="F45" s="51">
        <v>729</v>
      </c>
      <c r="G45" s="51">
        <f t="shared" si="1"/>
        <v>167.29999999999995</v>
      </c>
      <c r="H45" s="52"/>
      <c r="I45" s="5" t="s">
        <v>139</v>
      </c>
      <c r="J45" s="62"/>
      <c r="K45" s="13"/>
      <c r="L45" s="13"/>
      <c r="M45" s="5"/>
      <c r="N45" s="62"/>
      <c r="O45" s="13"/>
      <c r="P45" s="15" t="e">
        <f>#REF!/#REF!/10</f>
        <v>#REF!</v>
      </c>
      <c r="Q45" s="15" t="e">
        <f>#REF!/#REF!/10</f>
        <v>#REF!</v>
      </c>
      <c r="S45" s="15">
        <f>C37/'5'!B35*100</f>
        <v>3.3709509085766123</v>
      </c>
    </row>
    <row r="46" spans="1:21">
      <c r="A46" s="13">
        <v>2009</v>
      </c>
      <c r="B46" s="51">
        <v>647.79999999999995</v>
      </c>
      <c r="C46" s="51">
        <v>505.8</v>
      </c>
      <c r="D46" s="51">
        <f t="shared" si="0"/>
        <v>141.99999999999994</v>
      </c>
      <c r="E46" s="51">
        <v>685.4</v>
      </c>
      <c r="F46" s="51">
        <v>535.1</v>
      </c>
      <c r="G46" s="51">
        <f t="shared" si="1"/>
        <v>150.29999999999995</v>
      </c>
      <c r="H46" s="52"/>
      <c r="I46" s="66" t="s">
        <v>138</v>
      </c>
      <c r="J46" s="57">
        <f>100*((J14/J6)^(1/8)-1)</f>
        <v>8.0462735662620855</v>
      </c>
      <c r="K46" s="57">
        <f>100*((K14/K6)^(1/8)-1)</f>
        <v>5.937639173872844</v>
      </c>
      <c r="L46" s="57"/>
      <c r="M46" s="57">
        <f>100*((M14/M6)^(1/8)-1)</f>
        <v>2.7914211951087786</v>
      </c>
      <c r="N46" s="72">
        <f>100*((N14/N6)^(1/8)-1)</f>
        <v>3.3175516735438171</v>
      </c>
      <c r="O46" s="58">
        <f>100*((O14/O6)^(1/8)-1)</f>
        <v>0.5118427903009426</v>
      </c>
      <c r="P46" s="15" t="e">
        <f>#REF!/#REF!/10</f>
        <v>#REF!</v>
      </c>
      <c r="Q46" s="15" t="e">
        <f>#REF!/#REF!/10</f>
        <v>#REF!</v>
      </c>
      <c r="S46" s="15">
        <f>C38/'5'!B36*100</f>
        <v>2.6016367725717746</v>
      </c>
    </row>
    <row r="47" spans="1:21">
      <c r="A47" s="13">
        <v>2010</v>
      </c>
      <c r="B47" s="51">
        <v>715.2</v>
      </c>
      <c r="C47" s="51">
        <v>519.5</v>
      </c>
      <c r="D47" s="51">
        <f t="shared" si="0"/>
        <v>195.70000000000005</v>
      </c>
      <c r="E47" s="51">
        <v>746.2</v>
      </c>
      <c r="F47" s="51">
        <v>541.1</v>
      </c>
      <c r="G47" s="51">
        <f t="shared" si="1"/>
        <v>205.10000000000002</v>
      </c>
      <c r="H47" s="52"/>
      <c r="I47" s="67" t="s">
        <v>27</v>
      </c>
      <c r="J47" s="10">
        <f>100*((J25/J14)^(1/11)-1)</f>
        <v>2.1417278505584836</v>
      </c>
      <c r="K47" s="10">
        <f>100*((K25/K14)^(1/11)-1)</f>
        <v>3.9315447085688904</v>
      </c>
      <c r="L47" s="10"/>
      <c r="M47" s="10">
        <f>100*((M25/M14)^(1/11)-1)</f>
        <v>2.6912550879128805</v>
      </c>
      <c r="N47" s="73">
        <f>100*((N25/N14)^(1/11)-1)</f>
        <v>6.1727119727821966</v>
      </c>
      <c r="O47" s="11">
        <f>100*((O25/O14)^(1/11)-1)</f>
        <v>3.3902174843309485</v>
      </c>
      <c r="P47" s="15" t="e">
        <f>#REF!/#REF!/10</f>
        <v>#REF!</v>
      </c>
      <c r="Q47" s="15" t="e">
        <f>#REF!/#REF!/10</f>
        <v>#REF!</v>
      </c>
      <c r="S47" s="15">
        <f>C39/'5'!B37*100</f>
        <v>2.4651622105994662</v>
      </c>
    </row>
    <row r="48" spans="1:21">
      <c r="A48" s="13">
        <v>2011</v>
      </c>
      <c r="B48" s="51">
        <v>789.2</v>
      </c>
      <c r="C48" s="51">
        <v>552.79999999999995</v>
      </c>
      <c r="D48" s="51">
        <f t="shared" si="0"/>
        <v>236.40000000000009</v>
      </c>
      <c r="E48" s="51">
        <v>803.7</v>
      </c>
      <c r="F48" s="51">
        <v>562.70000000000005</v>
      </c>
      <c r="G48" s="51">
        <f t="shared" si="1"/>
        <v>241</v>
      </c>
      <c r="H48" s="52"/>
      <c r="I48" s="67" t="s">
        <v>28</v>
      </c>
      <c r="J48" s="10">
        <f>100*((J33/J25)^(1/8)-1)</f>
        <v>-2.7713793153925526</v>
      </c>
      <c r="K48" s="10">
        <f>100*((K33/K25)^(1/8)-1)</f>
        <v>3.2220335572086256</v>
      </c>
      <c r="L48" s="10"/>
      <c r="M48" s="10">
        <f>100*((M33/M25)^(1/8)-1)</f>
        <v>3.1798544084200131</v>
      </c>
      <c r="N48" s="73">
        <f>100*((N33/N25)^(1/8)-1)</f>
        <v>7.4413057607703559</v>
      </c>
      <c r="O48" s="11">
        <f>100*((O33/O25)^(1/8)-1)</f>
        <v>4.1301195633423715</v>
      </c>
      <c r="P48" s="15" t="e">
        <f>#REF!/#REF!/10</f>
        <v>#REF!</v>
      </c>
      <c r="Q48" s="15" t="e">
        <f>#REF!/#REF!/10</f>
        <v>#REF!</v>
      </c>
      <c r="S48" s="15">
        <f>C40/'5'!B38*100</f>
        <v>2.5780663629540412</v>
      </c>
    </row>
    <row r="49" spans="1:20" s="42" customFormat="1">
      <c r="A49" s="13">
        <v>2012</v>
      </c>
      <c r="B49" s="51">
        <v>799.7</v>
      </c>
      <c r="C49" s="51">
        <v>567.4</v>
      </c>
      <c r="D49" s="51">
        <f t="shared" si="0"/>
        <v>232.30000000000007</v>
      </c>
      <c r="E49" s="51">
        <v>799.7</v>
      </c>
      <c r="F49" s="51">
        <v>567.4</v>
      </c>
      <c r="G49" s="51">
        <f t="shared" si="1"/>
        <v>232.30000000000007</v>
      </c>
      <c r="H49" s="52"/>
      <c r="I49" s="68" t="s">
        <v>152</v>
      </c>
      <c r="J49" s="59">
        <f>100*((J33/J6)^(1/27)-1)</f>
        <v>2.350826376201387</v>
      </c>
      <c r="K49" s="59">
        <f>100*((K33/K6)^(1/27)-1)</f>
        <v>4.3100203471513998</v>
      </c>
      <c r="L49" s="59"/>
      <c r="M49" s="59">
        <f>100*((M33/M6)^(1/27)-1)</f>
        <v>2.865493973528066</v>
      </c>
      <c r="N49" s="74">
        <f>100*((N33/N6)^(1/27)-1)</f>
        <v>5.6899084731875327</v>
      </c>
      <c r="O49" s="60">
        <f>100*((O33/O6)^(1/27)-1)</f>
        <v>2.7457356111917575</v>
      </c>
    </row>
    <row r="50" spans="1:20" ht="15" customHeight="1">
      <c r="A50" s="13">
        <v>2013</v>
      </c>
      <c r="B50" s="51">
        <v>823.4</v>
      </c>
      <c r="C50" s="51">
        <v>592.70000000000005</v>
      </c>
      <c r="D50" s="51">
        <f t="shared" si="0"/>
        <v>230.69999999999993</v>
      </c>
      <c r="E50" s="51">
        <v>811.1</v>
      </c>
      <c r="F50" s="51">
        <v>584.20000000000005</v>
      </c>
      <c r="G50" s="51">
        <f t="shared" si="1"/>
        <v>226.89999999999998</v>
      </c>
      <c r="H50" s="52"/>
      <c r="I50" s="42"/>
      <c r="J50" s="42"/>
      <c r="K50" s="42"/>
      <c r="L50" s="42"/>
      <c r="M50" s="42"/>
      <c r="N50" s="42"/>
      <c r="O50" s="42"/>
      <c r="P50" s="15" t="e">
        <f>#REF!/#REF!/10</f>
        <v>#REF!</v>
      </c>
      <c r="Q50" s="15" t="e">
        <f>#REF!/#REF!/10</f>
        <v>#REF!</v>
      </c>
      <c r="S50" s="15">
        <f>C41/'5'!B39*100</f>
        <v>3.0195600022925073</v>
      </c>
    </row>
    <row r="51" spans="1:20" ht="15" customHeight="1">
      <c r="A51" s="13">
        <v>2014</v>
      </c>
      <c r="B51" s="164">
        <v>854.2</v>
      </c>
      <c r="C51" s="164">
        <v>612.5</v>
      </c>
      <c r="D51" s="164">
        <f t="shared" si="0"/>
        <v>241.70000000000005</v>
      </c>
      <c r="E51" s="164">
        <v>828.2</v>
      </c>
      <c r="F51" s="164">
        <v>592.9</v>
      </c>
      <c r="G51" s="61">
        <f t="shared" si="1"/>
        <v>235.30000000000007</v>
      </c>
      <c r="H51" s="52"/>
      <c r="I51" s="70" t="s">
        <v>140</v>
      </c>
      <c r="J51" s="10"/>
      <c r="K51" s="10"/>
      <c r="L51" s="10"/>
      <c r="M51" s="10"/>
      <c r="N51" s="10"/>
      <c r="O51" s="10"/>
      <c r="P51" s="15" t="e">
        <f>#REF!/#REF!/10</f>
        <v>#REF!</v>
      </c>
      <c r="Q51" s="15" t="e">
        <f>#REF!/#REF!/10</f>
        <v>#REF!</v>
      </c>
      <c r="S51" s="15">
        <f>C42/'5'!B40*100</f>
        <v>3.7440743752205332</v>
      </c>
    </row>
    <row r="52" spans="1:20" ht="15" customHeight="1">
      <c r="A52" s="13">
        <v>2015</v>
      </c>
      <c r="B52" s="13">
        <v>839.3</v>
      </c>
      <c r="C52" s="13">
        <v>613.1</v>
      </c>
      <c r="D52" s="164">
        <f t="shared" si="0"/>
        <v>226.19999999999993</v>
      </c>
      <c r="E52" s="13">
        <v>813</v>
      </c>
      <c r="F52" s="13">
        <v>591.6</v>
      </c>
      <c r="G52" s="13">
        <f t="shared" si="1"/>
        <v>221.39999999999998</v>
      </c>
      <c r="H52" s="52"/>
      <c r="I52" s="66" t="s">
        <v>202</v>
      </c>
      <c r="J52" s="57">
        <f>100*((J43/J6)^(1/37)-1)</f>
        <v>2.0962541409961455</v>
      </c>
      <c r="K52" s="57">
        <f t="shared" ref="K52:O52" si="6">100*((K43/K6)^(1/37)-1)</f>
        <v>4.2732031253318148</v>
      </c>
      <c r="L52" s="57"/>
      <c r="M52" s="57">
        <f t="shared" si="6"/>
        <v>2.4640033101066328</v>
      </c>
      <c r="N52" s="57">
        <f t="shared" si="6"/>
        <v>5.5631997536710998</v>
      </c>
      <c r="O52" s="57">
        <f t="shared" si="6"/>
        <v>3.0246685113256566</v>
      </c>
      <c r="P52" s="15" t="e">
        <f>#REF!/#REF!/10</f>
        <v>#REF!</v>
      </c>
      <c r="Q52" s="15" t="e">
        <f>#REF!/#REF!/10</f>
        <v>#REF!</v>
      </c>
      <c r="S52" s="15">
        <f>C43/'5'!B41*100</f>
        <v>4.7884122594935787</v>
      </c>
    </row>
    <row r="53" spans="1:20" ht="15" customHeight="1">
      <c r="A53" s="13">
        <v>2016</v>
      </c>
      <c r="B53" s="51">
        <v>859.1</v>
      </c>
      <c r="C53" s="51">
        <v>643.79999999999995</v>
      </c>
      <c r="D53" s="164">
        <f t="shared" si="0"/>
        <v>215.30000000000007</v>
      </c>
      <c r="E53" s="51">
        <v>823.6</v>
      </c>
      <c r="F53" s="51">
        <v>615.5</v>
      </c>
      <c r="G53" s="13">
        <f t="shared" si="1"/>
        <v>208.10000000000002</v>
      </c>
      <c r="H53" s="52"/>
      <c r="I53" s="67" t="s">
        <v>200</v>
      </c>
      <c r="J53" s="10">
        <f>((J43/J25)^(1/18)-1)*100</f>
        <v>-0.46901594816103342</v>
      </c>
      <c r="K53" s="10">
        <f t="shared" ref="K53:O53" si="7">((K43/K25)^(1/18)-1)*100</f>
        <v>3.7497480794312477</v>
      </c>
      <c r="L53" s="10"/>
      <c r="M53" s="10">
        <f t="shared" si="7"/>
        <v>2.1803871903395722</v>
      </c>
      <c r="N53" s="10">
        <f t="shared" si="7"/>
        <v>6.2025544011653277</v>
      </c>
      <c r="O53" s="10">
        <f t="shared" si="7"/>
        <v>3.9363397628679353</v>
      </c>
      <c r="P53" s="15" t="e">
        <f>#REF!/#REF!/10</f>
        <v>#REF!</v>
      </c>
      <c r="Q53" s="15" t="e">
        <f>#REF!/#REF!/10</f>
        <v>#REF!</v>
      </c>
      <c r="S53" s="15">
        <f>C44/'5'!B42*100</f>
        <v>5.2422172863083745</v>
      </c>
    </row>
    <row r="54" spans="1:20">
      <c r="A54" s="13">
        <v>2017</v>
      </c>
      <c r="B54" s="164">
        <v>957.1</v>
      </c>
      <c r="C54" s="164">
        <v>713.4</v>
      </c>
      <c r="D54" s="164">
        <f t="shared" si="0"/>
        <v>243.70000000000005</v>
      </c>
      <c r="E54" s="164">
        <v>900.8</v>
      </c>
      <c r="F54" s="164">
        <v>667.5</v>
      </c>
      <c r="G54" s="13">
        <f t="shared" si="1"/>
        <v>233.29999999999995</v>
      </c>
      <c r="H54" s="52"/>
      <c r="I54" s="79" t="s">
        <v>201</v>
      </c>
      <c r="J54" s="59">
        <f>((J43/J33)^(1/10)-1)*100</f>
        <v>1.4120674099586727</v>
      </c>
      <c r="K54" s="59">
        <f t="shared" ref="K54:O54" si="8">((K43/K33)^(1/10)-1)*100</f>
        <v>4.1738615234193421</v>
      </c>
      <c r="L54" s="59"/>
      <c r="M54" s="59">
        <f t="shared" si="8"/>
        <v>1.387788603250506</v>
      </c>
      <c r="N54" s="59">
        <f t="shared" si="8"/>
        <v>5.2218444740274927</v>
      </c>
      <c r="O54" s="59">
        <f t="shared" si="8"/>
        <v>3.781575595637432</v>
      </c>
      <c r="P54" s="15" t="e">
        <f>#REF!/#REF!/10</f>
        <v>#REF!</v>
      </c>
      <c r="Q54" s="15" t="e">
        <f>#REF!/#REF!/10</f>
        <v>#REF!</v>
      </c>
      <c r="S54" s="15">
        <f>C45/'5'!B43*100</f>
        <v>4.7183404926322661</v>
      </c>
    </row>
    <row r="55" spans="1:20" s="42" customFormat="1">
      <c r="A55" s="13">
        <v>2018</v>
      </c>
      <c r="B55" s="13">
        <v>1076.8</v>
      </c>
      <c r="C55" s="13">
        <v>815.4</v>
      </c>
      <c r="D55" s="164">
        <f t="shared" si="0"/>
        <v>261.39999999999998</v>
      </c>
      <c r="E55" s="13">
        <v>994.6</v>
      </c>
      <c r="F55" s="13">
        <v>744.6</v>
      </c>
      <c r="G55" s="13">
        <f t="shared" si="1"/>
        <v>250</v>
      </c>
      <c r="H55" s="52"/>
    </row>
    <row r="56" spans="1:20">
      <c r="H56" s="52"/>
    </row>
    <row r="57" spans="1:20" s="42" customFormat="1">
      <c r="A57" s="5" t="s">
        <v>139</v>
      </c>
      <c r="B57" s="62"/>
      <c r="C57" s="13"/>
      <c r="D57" s="13"/>
      <c r="E57" s="5"/>
      <c r="F57" s="62"/>
      <c r="G57" s="13"/>
      <c r="H57" s="61"/>
    </row>
    <row r="58" spans="1:20" s="42" customFormat="1">
      <c r="A58" s="66" t="s">
        <v>138</v>
      </c>
      <c r="B58" s="57">
        <f t="shared" ref="B58:G58" si="9">100*((B26/B18)^(1/8)-1)</f>
        <v>8.5769030466573923</v>
      </c>
      <c r="C58" s="57">
        <f t="shared" si="9"/>
        <v>12.616623109182301</v>
      </c>
      <c r="D58" s="57">
        <f t="shared" si="9"/>
        <v>-3.4711854243165696</v>
      </c>
      <c r="E58" s="57">
        <f t="shared" si="9"/>
        <v>4.5094692028068817</v>
      </c>
      <c r="F58" s="57">
        <f t="shared" si="9"/>
        <v>8.7317415344114515</v>
      </c>
      <c r="G58" s="58">
        <f t="shared" si="9"/>
        <v>-6.7706086918766335</v>
      </c>
      <c r="H58" s="61"/>
      <c r="I58" s="63"/>
      <c r="J58" s="63"/>
      <c r="K58" s="63"/>
      <c r="L58" s="63"/>
      <c r="M58" s="63"/>
      <c r="N58" s="63"/>
      <c r="O58" s="63"/>
    </row>
    <row r="59" spans="1:20" s="42" customFormat="1" ht="15" customHeight="1">
      <c r="A59" s="67" t="s">
        <v>27</v>
      </c>
      <c r="B59" s="10">
        <f t="shared" ref="B59:G59" si="10">100*((B37/B26)^(1/11)-1)</f>
        <v>7.1694575223870904</v>
      </c>
      <c r="C59" s="10">
        <f t="shared" si="10"/>
        <v>7.6953449548959663</v>
      </c>
      <c r="D59" s="10">
        <f t="shared" si="10"/>
        <v>3.181416954461036</v>
      </c>
      <c r="E59" s="10">
        <f t="shared" si="10"/>
        <v>4.6200457969231445</v>
      </c>
      <c r="F59" s="10">
        <f t="shared" si="10"/>
        <v>5.233081524326133</v>
      </c>
      <c r="G59" s="11">
        <f t="shared" si="10"/>
        <v>0.38765503152398129</v>
      </c>
      <c r="H59" s="61"/>
      <c r="I59" s="180" t="s">
        <v>170</v>
      </c>
      <c r="J59" s="180"/>
      <c r="K59" s="180"/>
      <c r="L59" s="180"/>
      <c r="M59" s="180"/>
      <c r="N59" s="180"/>
      <c r="O59" s="180"/>
    </row>
    <row r="60" spans="1:20" s="42" customFormat="1">
      <c r="A60" s="67" t="s">
        <v>28</v>
      </c>
      <c r="B60" s="10">
        <f t="shared" ref="B60:G60" si="11">100*((B45/B37)^(1/8)-1)</f>
        <v>10.545755817057723</v>
      </c>
      <c r="C60" s="10">
        <f t="shared" si="11"/>
        <v>9.1098250568004033</v>
      </c>
      <c r="D60" s="10">
        <f t="shared" si="11"/>
        <v>20.404489492241961</v>
      </c>
      <c r="E60" s="10">
        <f t="shared" si="11"/>
        <v>7.8021147654375955</v>
      </c>
      <c r="F60" s="10">
        <f t="shared" si="11"/>
        <v>6.4122141903724561</v>
      </c>
      <c r="G60" s="11">
        <f t="shared" si="11"/>
        <v>16.891205610147608</v>
      </c>
      <c r="H60" s="61"/>
      <c r="I60" s="180"/>
      <c r="J60" s="180"/>
      <c r="K60" s="180"/>
      <c r="L60" s="180"/>
      <c r="M60" s="180"/>
      <c r="N60" s="180"/>
      <c r="O60" s="180"/>
      <c r="T60" s="9"/>
    </row>
    <row r="61" spans="1:20" s="42" customFormat="1">
      <c r="A61" s="68" t="s">
        <v>152</v>
      </c>
      <c r="B61" s="59">
        <f t="shared" ref="B61:G61" si="12">100*((B45/B18)^(1/27)-1)</f>
        <v>8.5778881919849059</v>
      </c>
      <c r="C61" s="59">
        <f t="shared" si="12"/>
        <v>9.5533896818945419</v>
      </c>
      <c r="D61" s="59">
        <f t="shared" si="12"/>
        <v>5.898398489005241</v>
      </c>
      <c r="E61" s="59">
        <f t="shared" si="12"/>
        <v>5.5198939530247682</v>
      </c>
      <c r="F61" s="59">
        <f t="shared" si="12"/>
        <v>6.6092116478796425</v>
      </c>
      <c r="G61" s="60">
        <f t="shared" si="12"/>
        <v>2.741688770674755</v>
      </c>
      <c r="H61" s="9"/>
      <c r="I61" s="63"/>
      <c r="J61" s="63"/>
      <c r="K61" s="63"/>
      <c r="L61" s="63"/>
      <c r="M61" s="63"/>
      <c r="N61" s="63"/>
      <c r="O61" s="63"/>
    </row>
    <row r="62" spans="1:20" s="42" customFormat="1" ht="15" customHeight="1">
      <c r="I62" s="15"/>
      <c r="J62" s="15"/>
      <c r="K62" s="15"/>
      <c r="L62" s="15"/>
      <c r="M62" s="15"/>
      <c r="N62" s="15"/>
      <c r="O62" s="15"/>
    </row>
    <row r="63" spans="1:20" s="42" customFormat="1" ht="15" customHeight="1">
      <c r="A63" s="70" t="s">
        <v>140</v>
      </c>
      <c r="B63" s="10"/>
      <c r="C63" s="10"/>
      <c r="D63" s="10"/>
      <c r="E63" s="10"/>
      <c r="F63" s="10"/>
      <c r="G63" s="10"/>
      <c r="I63" s="15"/>
      <c r="J63" s="15"/>
      <c r="K63" s="15"/>
      <c r="L63" s="15"/>
      <c r="M63" s="15"/>
      <c r="N63" s="15"/>
      <c r="O63" s="15"/>
    </row>
    <row r="64" spans="1:20" s="42" customFormat="1" ht="15" customHeight="1">
      <c r="A64" s="66" t="s">
        <v>202</v>
      </c>
      <c r="B64" s="57">
        <f>((B55/B18)^(1/37)-1)*100</f>
        <v>6.8745377085501325</v>
      </c>
      <c r="C64" s="57">
        <f t="shared" ref="C64:G64" si="13">((C55/C18)^(1/37)-1)*100</f>
        <v>7.3507176444463695</v>
      </c>
      <c r="D64" s="57">
        <f t="shared" si="13"/>
        <v>5.7614237940175839</v>
      </c>
      <c r="E64" s="57">
        <f t="shared" si="13"/>
        <v>4.2915817109559828</v>
      </c>
      <c r="F64" s="57">
        <f t="shared" si="13"/>
        <v>4.8410035191599698</v>
      </c>
      <c r="G64" s="57">
        <f t="shared" si="13"/>
        <v>3.1066367384791072</v>
      </c>
      <c r="I64" s="15"/>
      <c r="J64" s="15"/>
      <c r="K64" s="15"/>
      <c r="L64" s="15"/>
      <c r="M64" s="15"/>
      <c r="N64" s="15"/>
      <c r="O64" s="15"/>
    </row>
    <row r="65" spans="1:15" s="42" customFormat="1">
      <c r="A65" s="67" t="s">
        <v>200</v>
      </c>
      <c r="B65" s="10">
        <f>((B55/B37)^(1/18)-1)*100</f>
        <v>5.9479529889995275</v>
      </c>
      <c r="C65" s="10">
        <f t="shared" ref="C65:G65" si="14">((C55/C37)^(1/18)-1)*100</f>
        <v>4.8844108272247722</v>
      </c>
      <c r="D65" s="10">
        <f t="shared" si="14"/>
        <v>11.818380154371066</v>
      </c>
      <c r="E65" s="10">
        <f t="shared" si="14"/>
        <v>3.9948541462658582</v>
      </c>
      <c r="F65" s="10">
        <f t="shared" si="14"/>
        <v>2.9217292912241843</v>
      </c>
      <c r="G65" s="10">
        <f t="shared" si="14"/>
        <v>9.6015253594174066</v>
      </c>
      <c r="I65" s="15"/>
      <c r="J65" s="15"/>
      <c r="K65" s="15"/>
      <c r="L65" s="15"/>
      <c r="M65" s="15"/>
      <c r="N65" s="15"/>
      <c r="O65" s="15"/>
    </row>
    <row r="66" spans="1:15" s="42" customFormat="1">
      <c r="A66" s="79" t="s">
        <v>201</v>
      </c>
      <c r="B66" s="59">
        <f>((B55/B45)^(1/10)-1)*100</f>
        <v>2.4077837752962461</v>
      </c>
      <c r="C66" s="59">
        <f t="shared" ref="C66:G66" si="15">((C55/C45)^(1/10)-1)*100</f>
        <v>1.6222040111255831</v>
      </c>
      <c r="D66" s="59">
        <f t="shared" si="15"/>
        <v>5.3924764354601029</v>
      </c>
      <c r="E66" s="59">
        <f t="shared" si="15"/>
        <v>1.0460883221091732</v>
      </c>
      <c r="F66" s="59">
        <f t="shared" si="15"/>
        <v>0.21195860964606794</v>
      </c>
      <c r="G66" s="59">
        <f t="shared" si="15"/>
        <v>4.0984844559955436</v>
      </c>
      <c r="I66" s="15"/>
      <c r="J66" s="15"/>
      <c r="K66" s="15"/>
      <c r="L66" s="15"/>
      <c r="M66" s="15"/>
      <c r="N66" s="15"/>
      <c r="O66" s="15"/>
    </row>
    <row r="67" spans="1:15" s="42" customFormat="1">
      <c r="I67" s="15"/>
      <c r="J67" s="15"/>
      <c r="K67" s="15"/>
      <c r="L67" s="15"/>
      <c r="M67" s="15"/>
      <c r="N67" s="15"/>
      <c r="O67" s="15"/>
    </row>
    <row r="68" spans="1:15" s="42" customFormat="1">
      <c r="A68" s="17" t="s">
        <v>169</v>
      </c>
      <c r="B68" s="63"/>
      <c r="C68" s="63"/>
      <c r="D68" s="63"/>
      <c r="E68" s="63"/>
      <c r="F68" s="63"/>
      <c r="G68" s="63"/>
      <c r="I68" s="15"/>
      <c r="J68" s="15"/>
      <c r="K68" s="15"/>
      <c r="L68" s="15"/>
      <c r="M68" s="15"/>
      <c r="N68" s="15"/>
      <c r="O68" s="15"/>
    </row>
    <row r="69" spans="1:15" s="42" customFormat="1">
      <c r="A69" s="9"/>
      <c r="B69" s="9"/>
      <c r="C69" s="15"/>
      <c r="D69" s="15"/>
      <c r="E69" s="15"/>
      <c r="F69" s="15"/>
      <c r="G69" s="15"/>
      <c r="I69" s="15"/>
      <c r="J69" s="15"/>
      <c r="K69" s="15"/>
      <c r="L69" s="15"/>
      <c r="M69" s="15"/>
      <c r="N69" s="15"/>
      <c r="O69" s="15"/>
    </row>
    <row r="70" spans="1:15" customFormat="1"/>
    <row r="71" spans="1:15" customFormat="1"/>
    <row r="72" spans="1:15" customFormat="1"/>
    <row r="73" spans="1:15" customFormat="1"/>
    <row r="74" spans="1:15" customFormat="1"/>
    <row r="75" spans="1:15" customFormat="1"/>
    <row r="76" spans="1:15" customFormat="1" hidden="1"/>
    <row r="77" spans="1:15" customFormat="1" hidden="1"/>
    <row r="78" spans="1:15" customFormat="1" hidden="1"/>
    <row r="79" spans="1:15" customFormat="1" hidden="1"/>
    <row r="80" spans="1:15" customFormat="1" hidden="1"/>
    <row r="81" customFormat="1" hidden="1"/>
    <row r="82" customFormat="1"/>
    <row r="83" customFormat="1" ht="60" customHeight="1"/>
    <row r="84" customFormat="1"/>
    <row r="85" customFormat="1"/>
    <row r="86" customFormat="1"/>
    <row r="87" customFormat="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customFormat="1" hidden="1"/>
    <row r="98" customFormat="1" hidden="1"/>
    <row r="99" customFormat="1" hidden="1"/>
    <row r="100" customFormat="1" hidden="1"/>
    <row r="101" customFormat="1" hidden="1"/>
    <row r="102" customFormat="1" hidden="1"/>
    <row r="103" customFormat="1" hidden="1"/>
    <row r="104" customFormat="1" hidden="1"/>
    <row r="105" customFormat="1" hidden="1"/>
    <row r="106" customFormat="1" hidden="1"/>
    <row r="107" customFormat="1" hidden="1"/>
    <row r="108" customFormat="1" hidden="1"/>
    <row r="109" customFormat="1" hidden="1"/>
    <row r="110" customFormat="1" hidden="1"/>
    <row r="111" customFormat="1" hidden="1"/>
    <row r="112" customFormat="1" hidden="1"/>
    <row r="113" customFormat="1" hidden="1"/>
    <row r="114" customFormat="1" hidden="1"/>
    <row r="115" customFormat="1" hidden="1"/>
    <row r="116" customFormat="1" hidden="1"/>
    <row r="117" customFormat="1" hidden="1"/>
    <row r="118" customFormat="1" hidden="1"/>
    <row r="119" customFormat="1" hidden="1"/>
    <row r="120" customFormat="1" hidden="1"/>
    <row r="121" customFormat="1" hidden="1"/>
    <row r="122" customFormat="1" hidden="1"/>
    <row r="123" customFormat="1" hidden="1"/>
    <row r="124" customFormat="1" hidden="1"/>
    <row r="125" customFormat="1" hidden="1"/>
    <row r="126" customFormat="1" hidden="1"/>
    <row r="127" customFormat="1" hidden="1"/>
    <row r="128" customFormat="1" hidden="1"/>
    <row r="129" customFormat="1" hidden="1"/>
    <row r="130" customFormat="1" hidden="1"/>
    <row r="131" customFormat="1" hidden="1"/>
    <row r="132" customFormat="1" hidden="1"/>
    <row r="133" customFormat="1" hidden="1"/>
    <row r="134" customFormat="1" hidden="1"/>
    <row r="135" customFormat="1" hidden="1"/>
    <row r="136" customFormat="1" hidden="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sheetData>
  <mergeCells count="3">
    <mergeCell ref="I59:O60"/>
    <mergeCell ref="A1:H1"/>
    <mergeCell ref="I1:O1"/>
  </mergeCells>
  <pageMargins left="0.7" right="0.7" top="0.75" bottom="0.75" header="0.3" footer="0.3"/>
  <pageSetup scale="59" orientation="portrait" r:id="rId1"/>
  <colBreaks count="1" manualBreakCount="1">
    <brk id="8" max="67" man="1"/>
  </colBreaks>
  <drawing r:id="rId2"/>
</worksheet>
</file>

<file path=xl/worksheets/sheet5.xml><?xml version="1.0" encoding="utf-8"?>
<worksheet xmlns="http://schemas.openxmlformats.org/spreadsheetml/2006/main" xmlns:r="http://schemas.openxmlformats.org/officeDocument/2006/relationships">
  <sheetPr codeName="Sheet7"/>
  <dimension ref="A1:AR105"/>
  <sheetViews>
    <sheetView view="pageBreakPreview" zoomScaleSheetLayoutView="100" workbookViewId="0">
      <selection activeCell="AD38" sqref="AD38"/>
    </sheetView>
  </sheetViews>
  <sheetFormatPr defaultRowHeight="15" outlineLevelCol="1"/>
  <cols>
    <col min="1" max="1" width="7.140625" style="15" customWidth="1"/>
    <col min="2" max="5" width="16" style="15" hidden="1" customWidth="1" outlineLevel="1"/>
    <col min="6" max="6" width="16" style="15" customWidth="1" collapsed="1"/>
    <col min="7" max="9" width="16" style="15" customWidth="1"/>
    <col min="10" max="10" width="7" style="9" customWidth="1"/>
    <col min="11" max="11" width="9.28515625" style="15" customWidth="1"/>
    <col min="12" max="15" width="16" style="15" customWidth="1"/>
    <col min="16" max="27" width="0" style="15" hidden="1" customWidth="1"/>
    <col min="28" max="16384" width="9.140625" style="15"/>
  </cols>
  <sheetData>
    <row r="1" spans="1:31" ht="30.75" customHeight="1">
      <c r="A1" s="182" t="s">
        <v>215</v>
      </c>
      <c r="B1" s="182"/>
      <c r="C1" s="182"/>
      <c r="D1" s="182"/>
      <c r="E1" s="182"/>
      <c r="F1" s="182"/>
      <c r="G1" s="182"/>
      <c r="H1" s="182"/>
      <c r="I1" s="182"/>
      <c r="J1" s="77"/>
      <c r="K1" s="182" t="s">
        <v>216</v>
      </c>
      <c r="L1" s="182"/>
      <c r="M1" s="182"/>
      <c r="N1" s="182"/>
      <c r="O1" s="182"/>
    </row>
    <row r="2" spans="1:31">
      <c r="K2" s="1"/>
    </row>
    <row r="3" spans="1:31" ht="75" customHeight="1">
      <c r="A3" s="113" t="s">
        <v>39</v>
      </c>
      <c r="B3" s="47" t="s">
        <v>114</v>
      </c>
      <c r="C3" s="47" t="s">
        <v>115</v>
      </c>
      <c r="D3" s="47" t="s">
        <v>209</v>
      </c>
      <c r="E3" s="47" t="s">
        <v>210</v>
      </c>
      <c r="F3" s="47" t="s">
        <v>211</v>
      </c>
      <c r="G3" s="47" t="s">
        <v>212</v>
      </c>
      <c r="H3" s="47" t="s">
        <v>213</v>
      </c>
      <c r="I3" s="47" t="s">
        <v>214</v>
      </c>
      <c r="J3" s="47"/>
      <c r="K3" s="47" t="s">
        <v>39</v>
      </c>
      <c r="L3" s="47" t="s">
        <v>217</v>
      </c>
      <c r="M3" s="47" t="s">
        <v>218</v>
      </c>
      <c r="N3" s="47" t="s">
        <v>213</v>
      </c>
      <c r="O3" s="47" t="s">
        <v>214</v>
      </c>
    </row>
    <row r="4" spans="1:31" s="42" customFormat="1" ht="15" customHeight="1">
      <c r="A4" s="113"/>
      <c r="B4" s="47" t="s">
        <v>29</v>
      </c>
      <c r="C4" s="47" t="s">
        <v>30</v>
      </c>
      <c r="D4" s="47" t="s">
        <v>31</v>
      </c>
      <c r="E4" s="47" t="s">
        <v>32</v>
      </c>
      <c r="F4" s="47" t="s">
        <v>33</v>
      </c>
      <c r="G4" s="47" t="s">
        <v>34</v>
      </c>
      <c r="H4" s="47" t="s">
        <v>35</v>
      </c>
      <c r="I4" s="47" t="s">
        <v>36</v>
      </c>
      <c r="J4" s="47"/>
      <c r="K4" s="47"/>
      <c r="L4" s="47" t="s">
        <v>29</v>
      </c>
      <c r="M4" s="47" t="s">
        <v>30</v>
      </c>
      <c r="N4" s="47" t="s">
        <v>31</v>
      </c>
      <c r="O4" s="47" t="s">
        <v>32</v>
      </c>
    </row>
    <row r="5" spans="1:31" s="42" customFormat="1" ht="15" customHeight="1">
      <c r="A5" s="113"/>
      <c r="B5" s="47"/>
      <c r="C5" s="47"/>
      <c r="D5" s="47"/>
      <c r="E5" s="47"/>
      <c r="F5" s="47"/>
      <c r="G5" s="47"/>
      <c r="H5" s="47"/>
      <c r="I5" s="47"/>
      <c r="J5" s="47"/>
      <c r="K5" s="47"/>
      <c r="L5" s="47"/>
      <c r="M5" s="47"/>
      <c r="N5" s="47"/>
      <c r="O5" s="47"/>
    </row>
    <row r="6" spans="1:31">
      <c r="A6" s="13">
        <v>1969</v>
      </c>
      <c r="B6" s="52">
        <v>51.9</v>
      </c>
      <c r="C6" s="52">
        <v>50.5</v>
      </c>
      <c r="D6" s="52">
        <v>8.2880000000000003</v>
      </c>
      <c r="E6" s="52">
        <v>9.7110000000000003</v>
      </c>
      <c r="F6" s="52">
        <f>$B$46*D6/100</f>
        <v>131.11616000000001</v>
      </c>
      <c r="G6" s="52">
        <f>$C$46*E6/100</f>
        <v>192.12242400000002</v>
      </c>
      <c r="H6" s="52">
        <v>28.588999999999999</v>
      </c>
      <c r="I6" s="52">
        <v>18.838999999999999</v>
      </c>
      <c r="J6" s="52"/>
      <c r="K6" s="13">
        <v>1981</v>
      </c>
      <c r="L6" s="52">
        <v>150.58575000000002</v>
      </c>
      <c r="M6" s="52">
        <v>127.75950000000002</v>
      </c>
      <c r="N6" s="51">
        <v>64.5</v>
      </c>
      <c r="O6" s="51">
        <v>74.099999999999994</v>
      </c>
      <c r="P6" s="42"/>
      <c r="Q6" s="42"/>
      <c r="R6" s="42"/>
      <c r="S6" s="42"/>
      <c r="T6" s="42"/>
      <c r="U6" s="42"/>
      <c r="AC6" s="42"/>
      <c r="AD6" s="42"/>
      <c r="AE6" s="42"/>
    </row>
    <row r="7" spans="1:31">
      <c r="A7" s="13">
        <v>1970</v>
      </c>
      <c r="B7" s="52">
        <v>59.7</v>
      </c>
      <c r="C7" s="52">
        <v>55.8</v>
      </c>
      <c r="D7" s="52">
        <v>9.1709999999999994</v>
      </c>
      <c r="E7" s="52">
        <v>10.125999999999999</v>
      </c>
      <c r="F7" s="52">
        <f t="shared" ref="F7:F48" si="0">$B$46*D7/100</f>
        <v>145.08521999999999</v>
      </c>
      <c r="G7" s="52">
        <f t="shared" ref="G7:G55" si="1">$C$46*E7/100</f>
        <v>200.332784</v>
      </c>
      <c r="H7" s="52">
        <v>29.710999999999999</v>
      </c>
      <c r="I7" s="52">
        <v>19.954000000000001</v>
      </c>
      <c r="J7" s="52"/>
      <c r="K7" s="13">
        <v>1982</v>
      </c>
      <c r="L7" s="52">
        <v>148.48925000000003</v>
      </c>
      <c r="M7" s="52">
        <v>107.47200000000001</v>
      </c>
      <c r="N7" s="51">
        <v>65.8</v>
      </c>
      <c r="O7" s="51">
        <v>77.400000000000006</v>
      </c>
      <c r="AC7" s="42"/>
      <c r="AD7" s="42"/>
      <c r="AE7" s="42"/>
    </row>
    <row r="8" spans="1:31">
      <c r="A8" s="13">
        <v>1971</v>
      </c>
      <c r="B8" s="52">
        <v>63</v>
      </c>
      <c r="C8" s="52">
        <v>62.3</v>
      </c>
      <c r="D8" s="52">
        <v>9.33</v>
      </c>
      <c r="E8" s="52">
        <v>10.666</v>
      </c>
      <c r="F8" s="52">
        <f t="shared" si="0"/>
        <v>147.60059999999999</v>
      </c>
      <c r="G8" s="52">
        <f t="shared" si="1"/>
        <v>211.01614400000003</v>
      </c>
      <c r="H8" s="52">
        <v>30.795999999999999</v>
      </c>
      <c r="I8" s="52">
        <v>21.178999999999998</v>
      </c>
      <c r="J8" s="52"/>
      <c r="K8" s="13">
        <v>1983</v>
      </c>
      <c r="L8" s="52">
        <v>157.05975000000001</v>
      </c>
      <c r="M8" s="52">
        <v>118.32925</v>
      </c>
      <c r="N8" s="51">
        <v>66.8</v>
      </c>
      <c r="O8" s="51">
        <v>77.599999999999994</v>
      </c>
      <c r="AC8" s="42"/>
      <c r="AD8" s="42"/>
      <c r="AE8" s="42"/>
    </row>
    <row r="9" spans="1:31">
      <c r="A9" s="13">
        <v>1972</v>
      </c>
      <c r="B9" s="52">
        <v>70.8</v>
      </c>
      <c r="C9" s="52">
        <v>74.2</v>
      </c>
      <c r="D9" s="52">
        <v>10.057</v>
      </c>
      <c r="E9" s="52">
        <v>11.866</v>
      </c>
      <c r="F9" s="52">
        <f t="shared" si="0"/>
        <v>159.10174000000001</v>
      </c>
      <c r="G9" s="52">
        <f t="shared" si="1"/>
        <v>234.756944</v>
      </c>
      <c r="H9" s="52">
        <v>32.145000000000003</v>
      </c>
      <c r="I9" s="52">
        <v>22.661999999999999</v>
      </c>
      <c r="J9" s="52"/>
      <c r="K9" s="13">
        <v>1984</v>
      </c>
      <c r="L9" s="52">
        <v>186.30924999999999</v>
      </c>
      <c r="M9" s="52">
        <v>138.89675</v>
      </c>
      <c r="N9" s="51">
        <v>69.2</v>
      </c>
      <c r="O9" s="51">
        <v>81.599999999999994</v>
      </c>
      <c r="AC9" s="42"/>
      <c r="AD9" s="42"/>
      <c r="AE9" s="42"/>
    </row>
    <row r="10" spans="1:31">
      <c r="A10" s="13">
        <v>1973</v>
      </c>
      <c r="B10" s="52">
        <v>95.3</v>
      </c>
      <c r="C10" s="52">
        <v>91.2</v>
      </c>
      <c r="D10" s="52">
        <v>11.95</v>
      </c>
      <c r="E10" s="52">
        <v>12.417</v>
      </c>
      <c r="F10" s="52">
        <f t="shared" si="0"/>
        <v>189.04899999999998</v>
      </c>
      <c r="G10" s="52">
        <f t="shared" si="1"/>
        <v>245.657928</v>
      </c>
      <c r="H10" s="52">
        <v>36.381999999999998</v>
      </c>
      <c r="I10" s="52">
        <v>26.600999999999999</v>
      </c>
      <c r="J10" s="52"/>
      <c r="K10" s="13">
        <v>1985</v>
      </c>
      <c r="L10" s="52">
        <v>194.6575</v>
      </c>
      <c r="M10" s="52">
        <v>150.36975000000001</v>
      </c>
      <c r="N10" s="51">
        <v>70.7</v>
      </c>
      <c r="O10" s="51">
        <v>84.1</v>
      </c>
      <c r="AC10" s="42"/>
      <c r="AD10" s="42"/>
      <c r="AE10" s="42"/>
    </row>
    <row r="11" spans="1:31">
      <c r="A11" s="13">
        <v>1974</v>
      </c>
      <c r="B11" s="52">
        <v>126.7</v>
      </c>
      <c r="C11" s="52">
        <v>127.5</v>
      </c>
      <c r="D11" s="52">
        <v>12.898999999999999</v>
      </c>
      <c r="E11" s="52">
        <v>12.135999999999999</v>
      </c>
      <c r="F11" s="52">
        <f t="shared" si="0"/>
        <v>204.06217999999998</v>
      </c>
      <c r="G11" s="52">
        <f t="shared" si="1"/>
        <v>240.09862399999997</v>
      </c>
      <c r="H11" s="52">
        <v>44.807000000000002</v>
      </c>
      <c r="I11" s="52">
        <v>38.058</v>
      </c>
      <c r="J11" s="52"/>
      <c r="K11" s="13">
        <v>1986</v>
      </c>
      <c r="L11" s="52">
        <v>203.40550000000002</v>
      </c>
      <c r="M11" s="52">
        <v>160.2475</v>
      </c>
      <c r="N11" s="51">
        <v>69.8</v>
      </c>
      <c r="O11" s="51">
        <v>85.7</v>
      </c>
      <c r="AC11" s="42"/>
      <c r="AD11" s="42"/>
      <c r="AE11" s="42"/>
    </row>
    <row r="12" spans="1:31">
      <c r="A12" s="13">
        <v>1975</v>
      </c>
      <c r="B12" s="52">
        <v>138.69999999999999</v>
      </c>
      <c r="C12" s="52">
        <v>122.7</v>
      </c>
      <c r="D12" s="52">
        <v>12.817</v>
      </c>
      <c r="E12" s="52">
        <v>10.787000000000001</v>
      </c>
      <c r="F12" s="52">
        <f t="shared" si="0"/>
        <v>202.76494</v>
      </c>
      <c r="G12" s="52">
        <f t="shared" si="1"/>
        <v>213.410008</v>
      </c>
      <c r="H12" s="52">
        <v>49.387999999999998</v>
      </c>
      <c r="I12" s="52">
        <v>41.225999999999999</v>
      </c>
      <c r="J12" s="52"/>
      <c r="K12" s="13">
        <v>1987</v>
      </c>
      <c r="L12" s="52">
        <v>209.88575</v>
      </c>
      <c r="M12" s="52">
        <v>168.89974999999998</v>
      </c>
      <c r="N12" s="51">
        <v>71.099999999999994</v>
      </c>
      <c r="O12" s="51">
        <v>84.5</v>
      </c>
      <c r="Q12" s="15">
        <v>43.5</v>
      </c>
      <c r="R12" s="15">
        <v>39.9</v>
      </c>
      <c r="T12" s="15">
        <f t="shared" ref="T12:T47" si="2">100*(Q12/$Q$45)</f>
        <v>3.9678920003648637</v>
      </c>
      <c r="U12" s="15">
        <f t="shared" ref="U12:U47" si="3">100*(R12/$R$45)</f>
        <v>2.7036183764737767</v>
      </c>
      <c r="AC12" s="42"/>
      <c r="AD12" s="42"/>
      <c r="AE12" s="42"/>
    </row>
    <row r="13" spans="1:31">
      <c r="A13" s="13">
        <v>1976</v>
      </c>
      <c r="B13" s="52">
        <v>149.5</v>
      </c>
      <c r="C13" s="52">
        <v>151.1</v>
      </c>
      <c r="D13" s="52">
        <v>13.375999999999999</v>
      </c>
      <c r="E13" s="52">
        <v>12.896000000000001</v>
      </c>
      <c r="F13" s="52">
        <f t="shared" si="0"/>
        <v>211.60831999999999</v>
      </c>
      <c r="G13" s="52">
        <f t="shared" si="1"/>
        <v>255.13446400000004</v>
      </c>
      <c r="H13" s="52">
        <v>51.009</v>
      </c>
      <c r="I13" s="52">
        <v>42.466999999999999</v>
      </c>
      <c r="J13" s="52"/>
      <c r="K13" s="13">
        <v>1988</v>
      </c>
      <c r="L13" s="52">
        <v>228.976</v>
      </c>
      <c r="M13" s="52">
        <v>191.74349999999998</v>
      </c>
      <c r="N13" s="51">
        <v>71.3</v>
      </c>
      <c r="O13" s="51">
        <v>82.7</v>
      </c>
      <c r="Q13" s="15">
        <v>47.9</v>
      </c>
      <c r="R13" s="15">
        <v>46.6</v>
      </c>
      <c r="T13" s="15">
        <f t="shared" si="2"/>
        <v>4.3692419958040682</v>
      </c>
      <c r="U13" s="15">
        <f t="shared" si="3"/>
        <v>3.1576094321723813</v>
      </c>
      <c r="AC13" s="42"/>
      <c r="AD13" s="42"/>
      <c r="AE13" s="42"/>
    </row>
    <row r="14" spans="1:31">
      <c r="A14" s="13">
        <v>1977</v>
      </c>
      <c r="B14" s="52">
        <v>159.30000000000001</v>
      </c>
      <c r="C14" s="52">
        <v>182.4</v>
      </c>
      <c r="D14" s="52">
        <v>13.698</v>
      </c>
      <c r="E14" s="52">
        <v>14.305999999999999</v>
      </c>
      <c r="F14" s="52">
        <f t="shared" si="0"/>
        <v>216.70236</v>
      </c>
      <c r="G14" s="52">
        <f t="shared" si="1"/>
        <v>283.02990399999999</v>
      </c>
      <c r="H14" s="52">
        <v>53.088000000000001</v>
      </c>
      <c r="I14" s="52">
        <v>46.209000000000003</v>
      </c>
      <c r="J14" s="52"/>
      <c r="K14" s="13">
        <v>1989</v>
      </c>
      <c r="L14" s="52">
        <v>230.89724999999999</v>
      </c>
      <c r="M14" s="52">
        <v>202.87875</v>
      </c>
      <c r="N14" s="51">
        <v>72.8</v>
      </c>
      <c r="O14" s="51">
        <v>82.8</v>
      </c>
      <c r="Q14" s="15">
        <v>51.9</v>
      </c>
      <c r="R14" s="15">
        <v>50.5</v>
      </c>
      <c r="T14" s="15">
        <f t="shared" si="2"/>
        <v>4.7341056280215268</v>
      </c>
      <c r="U14" s="15">
        <f t="shared" si="3"/>
        <v>3.4218728825044042</v>
      </c>
      <c r="AC14" s="42"/>
      <c r="AD14" s="42"/>
      <c r="AE14" s="42"/>
    </row>
    <row r="15" spans="1:31">
      <c r="A15" s="13">
        <v>1978</v>
      </c>
      <c r="B15" s="52">
        <v>186.9</v>
      </c>
      <c r="C15" s="52">
        <v>212.3</v>
      </c>
      <c r="D15" s="52">
        <v>15.144</v>
      </c>
      <c r="E15" s="52">
        <v>15.545999999999999</v>
      </c>
      <c r="F15" s="52">
        <f t="shared" si="0"/>
        <v>239.57808</v>
      </c>
      <c r="G15" s="52">
        <f t="shared" si="1"/>
        <v>307.56206399999996</v>
      </c>
      <c r="H15" s="52">
        <v>56.317</v>
      </c>
      <c r="I15" s="52">
        <v>49.466000000000001</v>
      </c>
      <c r="J15" s="52"/>
      <c r="K15" s="13">
        <v>1990</v>
      </c>
      <c r="L15" s="52">
        <v>241.33825000000002</v>
      </c>
      <c r="M15" s="52">
        <v>206.80700000000002</v>
      </c>
      <c r="N15" s="51">
        <v>72.2</v>
      </c>
      <c r="O15" s="51">
        <v>83.8</v>
      </c>
      <c r="Q15" s="15">
        <v>59.7</v>
      </c>
      <c r="R15" s="15">
        <v>55.8</v>
      </c>
      <c r="T15" s="15">
        <f t="shared" si="2"/>
        <v>5.4455897108455718</v>
      </c>
      <c r="U15" s="15">
        <f t="shared" si="3"/>
        <v>3.7810001355197178</v>
      </c>
      <c r="AC15" s="42"/>
      <c r="AD15" s="42"/>
      <c r="AE15" s="42"/>
    </row>
    <row r="16" spans="1:31">
      <c r="A16" s="13">
        <v>1979</v>
      </c>
      <c r="B16" s="52">
        <v>230.1</v>
      </c>
      <c r="C16" s="52">
        <v>252.7</v>
      </c>
      <c r="D16" s="52">
        <v>16.643000000000001</v>
      </c>
      <c r="E16" s="52">
        <v>15.804</v>
      </c>
      <c r="F16" s="52">
        <f t="shared" si="0"/>
        <v>263.29226</v>
      </c>
      <c r="G16" s="52">
        <f t="shared" si="1"/>
        <v>312.666336</v>
      </c>
      <c r="H16" s="52">
        <v>63.100999999999999</v>
      </c>
      <c r="I16" s="52">
        <v>57.93</v>
      </c>
      <c r="J16" s="52"/>
      <c r="K16" s="13">
        <v>1991</v>
      </c>
      <c r="L16" s="52">
        <v>245.20875000000001</v>
      </c>
      <c r="M16" s="52">
        <v>211.99225000000001</v>
      </c>
      <c r="N16" s="51">
        <v>69.599999999999994</v>
      </c>
      <c r="O16" s="51">
        <v>82.3</v>
      </c>
      <c r="Q16" s="15">
        <v>63</v>
      </c>
      <c r="R16" s="15">
        <v>62.3</v>
      </c>
      <c r="T16" s="15">
        <f t="shared" si="2"/>
        <v>5.7466022074249752</v>
      </c>
      <c r="U16" s="15">
        <f t="shared" si="3"/>
        <v>4.221439219406423</v>
      </c>
      <c r="AC16" s="42"/>
      <c r="AD16" s="42"/>
      <c r="AE16" s="42"/>
    </row>
    <row r="17" spans="1:31">
      <c r="A17" s="13">
        <v>1980</v>
      </c>
      <c r="B17" s="52">
        <v>280.8</v>
      </c>
      <c r="C17" s="52">
        <v>293.8</v>
      </c>
      <c r="D17" s="52">
        <v>18.434999999999999</v>
      </c>
      <c r="E17" s="52">
        <v>14.752000000000001</v>
      </c>
      <c r="F17" s="52">
        <f t="shared" si="0"/>
        <v>291.64169999999996</v>
      </c>
      <c r="G17" s="52">
        <f t="shared" si="1"/>
        <v>291.853568</v>
      </c>
      <c r="H17" s="52">
        <v>69.503</v>
      </c>
      <c r="I17" s="52">
        <v>72.165999999999997</v>
      </c>
      <c r="J17" s="52"/>
      <c r="K17" s="13">
        <v>1992</v>
      </c>
      <c r="L17" s="52">
        <v>263.40924999999999</v>
      </c>
      <c r="M17" s="52">
        <v>222.84975</v>
      </c>
      <c r="N17" s="51">
        <v>71.3</v>
      </c>
      <c r="O17" s="51">
        <v>85.5</v>
      </c>
      <c r="Q17" s="15">
        <v>70.8</v>
      </c>
      <c r="R17" s="15">
        <v>74.2</v>
      </c>
      <c r="T17" s="15">
        <f t="shared" si="2"/>
        <v>6.4580862902490193</v>
      </c>
      <c r="U17" s="15">
        <f t="shared" si="3"/>
        <v>5.0277815422143926</v>
      </c>
      <c r="AC17" s="42"/>
      <c r="AD17" s="42"/>
      <c r="AE17" s="42"/>
    </row>
    <row r="18" spans="1:31">
      <c r="A18" s="13">
        <v>1981</v>
      </c>
      <c r="B18" s="52">
        <v>305.2</v>
      </c>
      <c r="C18" s="52">
        <v>317.8</v>
      </c>
      <c r="D18" s="52">
        <v>18.66</v>
      </c>
      <c r="E18" s="52">
        <v>15.137</v>
      </c>
      <c r="F18" s="52">
        <f t="shared" si="0"/>
        <v>295.20119999999997</v>
      </c>
      <c r="G18" s="52">
        <f t="shared" si="1"/>
        <v>299.47040800000002</v>
      </c>
      <c r="H18" s="52">
        <v>74.650000000000006</v>
      </c>
      <c r="I18" s="52">
        <v>76.066000000000003</v>
      </c>
      <c r="J18" s="52"/>
      <c r="K18" s="13">
        <v>1993</v>
      </c>
      <c r="L18" s="52">
        <v>291.90925000000004</v>
      </c>
      <c r="M18" s="52">
        <v>239.51400000000001</v>
      </c>
      <c r="N18" s="51">
        <v>74.5</v>
      </c>
      <c r="O18" s="51">
        <v>90.7</v>
      </c>
      <c r="Q18" s="15">
        <v>95.3</v>
      </c>
      <c r="R18" s="15">
        <v>91.2</v>
      </c>
      <c r="T18" s="15">
        <f t="shared" si="2"/>
        <v>8.6928760375809553</v>
      </c>
      <c r="U18" s="15">
        <f t="shared" si="3"/>
        <v>6.1796991462257767</v>
      </c>
      <c r="AC18" s="42"/>
      <c r="AD18" s="42"/>
      <c r="AE18" s="42"/>
    </row>
    <row r="19" spans="1:31">
      <c r="A19" s="13">
        <v>1982</v>
      </c>
      <c r="B19" s="52">
        <v>283.2</v>
      </c>
      <c r="C19" s="52">
        <v>303.2</v>
      </c>
      <c r="D19" s="52">
        <v>17.231000000000002</v>
      </c>
      <c r="E19" s="52">
        <v>14.945</v>
      </c>
      <c r="F19" s="52">
        <f t="shared" si="0"/>
        <v>272.59442000000001</v>
      </c>
      <c r="G19" s="52">
        <f t="shared" si="1"/>
        <v>295.67188000000004</v>
      </c>
      <c r="H19" s="52">
        <v>75.006</v>
      </c>
      <c r="I19" s="52">
        <v>73.506</v>
      </c>
      <c r="J19" s="52"/>
      <c r="K19" s="13">
        <v>1994</v>
      </c>
      <c r="L19" s="52">
        <v>329.35749999999996</v>
      </c>
      <c r="M19" s="52">
        <v>259.37475000000001</v>
      </c>
      <c r="N19" s="51">
        <v>78.7</v>
      </c>
      <c r="O19" s="51">
        <v>96.5</v>
      </c>
      <c r="Q19" s="15">
        <v>126.7</v>
      </c>
      <c r="R19" s="15">
        <v>127.5</v>
      </c>
      <c r="T19" s="15">
        <f t="shared" si="2"/>
        <v>11.557055550488005</v>
      </c>
      <c r="U19" s="15">
        <f t="shared" si="3"/>
        <v>8.639382030085379</v>
      </c>
      <c r="AC19" s="42"/>
      <c r="AD19" s="42"/>
      <c r="AE19" s="42"/>
    </row>
    <row r="20" spans="1:31">
      <c r="A20" s="13">
        <v>1983</v>
      </c>
      <c r="B20" s="52">
        <v>277</v>
      </c>
      <c r="C20" s="52">
        <v>328.6</v>
      </c>
      <c r="D20" s="52">
        <v>16.785</v>
      </c>
      <c r="E20" s="52">
        <v>16.831</v>
      </c>
      <c r="F20" s="52">
        <f t="shared" si="0"/>
        <v>265.53870000000001</v>
      </c>
      <c r="G20" s="52">
        <f t="shared" si="1"/>
        <v>332.98450400000002</v>
      </c>
      <c r="H20" s="52">
        <v>75.311000000000007</v>
      </c>
      <c r="I20" s="52">
        <v>70.751000000000005</v>
      </c>
      <c r="J20" s="52"/>
      <c r="K20" s="13">
        <v>1995</v>
      </c>
      <c r="L20" s="52">
        <v>358.57375000000002</v>
      </c>
      <c r="M20" s="52">
        <v>274.36174999999997</v>
      </c>
      <c r="N20" s="51">
        <v>83.6</v>
      </c>
      <c r="O20" s="51">
        <v>99.9</v>
      </c>
      <c r="Q20" s="15">
        <v>138.69999999999999</v>
      </c>
      <c r="R20" s="15">
        <v>122.7</v>
      </c>
      <c r="T20" s="15">
        <f t="shared" si="2"/>
        <v>12.651646447140379</v>
      </c>
      <c r="U20" s="15">
        <f t="shared" si="3"/>
        <v>8.3141347065998108</v>
      </c>
      <c r="AC20" s="42"/>
      <c r="AD20" s="42"/>
      <c r="AE20" s="42"/>
    </row>
    <row r="21" spans="1:31">
      <c r="A21" s="13">
        <v>1984</v>
      </c>
      <c r="B21" s="52">
        <v>302.39999999999998</v>
      </c>
      <c r="C21" s="52">
        <v>405.1</v>
      </c>
      <c r="D21" s="52">
        <v>18.152999999999999</v>
      </c>
      <c r="E21" s="52">
        <v>20.928000000000001</v>
      </c>
      <c r="F21" s="52">
        <f t="shared" si="0"/>
        <v>287.18045999999998</v>
      </c>
      <c r="G21" s="52">
        <f t="shared" si="1"/>
        <v>414.03955200000001</v>
      </c>
      <c r="H21" s="52">
        <v>76.016000000000005</v>
      </c>
      <c r="I21" s="52">
        <v>70.138999999999996</v>
      </c>
      <c r="J21" s="52"/>
      <c r="K21" s="13">
        <v>1996</v>
      </c>
      <c r="L21" s="52">
        <v>379.10450000000003</v>
      </c>
      <c r="M21" s="52">
        <v>289.065</v>
      </c>
      <c r="N21" s="51">
        <v>84.1</v>
      </c>
      <c r="O21" s="51">
        <v>98.6</v>
      </c>
      <c r="Q21" s="15">
        <v>149.5</v>
      </c>
      <c r="R21" s="15">
        <v>151.1</v>
      </c>
      <c r="T21" s="15">
        <f t="shared" si="2"/>
        <v>13.63677825412752</v>
      </c>
      <c r="U21" s="15">
        <f t="shared" si="3"/>
        <v>10.238514703889416</v>
      </c>
      <c r="AC21" s="42"/>
      <c r="AD21" s="42"/>
      <c r="AE21" s="42"/>
    </row>
    <row r="22" spans="1:31">
      <c r="A22" s="13">
        <v>1985</v>
      </c>
      <c r="B22" s="52">
        <v>303.2</v>
      </c>
      <c r="C22" s="52">
        <v>417.2</v>
      </c>
      <c r="D22" s="52">
        <v>18.760999999999999</v>
      </c>
      <c r="E22" s="52">
        <v>22.286000000000001</v>
      </c>
      <c r="F22" s="52">
        <f t="shared" si="0"/>
        <v>296.79901999999998</v>
      </c>
      <c r="G22" s="52">
        <f t="shared" si="1"/>
        <v>440.90622400000007</v>
      </c>
      <c r="H22" s="52">
        <v>73.753</v>
      </c>
      <c r="I22" s="52">
        <v>67.835999999999999</v>
      </c>
      <c r="J22" s="52"/>
      <c r="K22" s="13">
        <v>1997</v>
      </c>
      <c r="L22" s="52">
        <v>411.67124999999999</v>
      </c>
      <c r="M22" s="52">
        <v>330.58825000000002</v>
      </c>
      <c r="N22" s="51">
        <v>83.9</v>
      </c>
      <c r="O22" s="51">
        <v>99.3</v>
      </c>
      <c r="Q22" s="15">
        <v>159.4</v>
      </c>
      <c r="R22" s="15">
        <v>182.4</v>
      </c>
      <c r="T22" s="15">
        <f t="shared" si="2"/>
        <v>14.539815743865731</v>
      </c>
      <c r="U22" s="15">
        <f t="shared" si="3"/>
        <v>12.359398292451553</v>
      </c>
      <c r="AC22" s="42"/>
      <c r="AD22" s="42"/>
      <c r="AE22" s="42"/>
    </row>
    <row r="23" spans="1:31">
      <c r="A23" s="13">
        <v>1986</v>
      </c>
      <c r="B23" s="52">
        <v>321</v>
      </c>
      <c r="C23" s="52">
        <v>452.9</v>
      </c>
      <c r="D23" s="52">
        <v>20.199000000000002</v>
      </c>
      <c r="E23" s="52">
        <v>24.187000000000001</v>
      </c>
      <c r="F23" s="52">
        <f t="shared" si="0"/>
        <v>319.54818</v>
      </c>
      <c r="G23" s="52">
        <f t="shared" si="1"/>
        <v>478.51560800000004</v>
      </c>
      <c r="H23" s="52">
        <v>72.522999999999996</v>
      </c>
      <c r="I23" s="52">
        <v>67.834000000000003</v>
      </c>
      <c r="J23" s="52"/>
      <c r="K23" s="13">
        <v>1998</v>
      </c>
      <c r="L23" s="52">
        <v>450.84925000000004</v>
      </c>
      <c r="M23" s="52">
        <v>348.09949999999998</v>
      </c>
      <c r="N23" s="51">
        <v>83.4</v>
      </c>
      <c r="O23" s="51">
        <v>102.7</v>
      </c>
      <c r="Q23" s="15">
        <v>186.9</v>
      </c>
      <c r="R23" s="15">
        <v>212.3</v>
      </c>
      <c r="T23" s="15">
        <f t="shared" si="2"/>
        <v>17.048253215360759</v>
      </c>
      <c r="U23" s="15">
        <f t="shared" si="3"/>
        <v>14.385418078330398</v>
      </c>
      <c r="AC23" s="42"/>
      <c r="AD23" s="42"/>
      <c r="AE23" s="42"/>
    </row>
    <row r="24" spans="1:31">
      <c r="A24" s="13">
        <v>1987</v>
      </c>
      <c r="B24" s="52">
        <v>363.9</v>
      </c>
      <c r="C24" s="52">
        <v>508.7</v>
      </c>
      <c r="D24" s="52">
        <v>22.405999999999999</v>
      </c>
      <c r="E24" s="52">
        <v>25.623999999999999</v>
      </c>
      <c r="F24" s="52">
        <f t="shared" si="0"/>
        <v>354.46292</v>
      </c>
      <c r="G24" s="52">
        <f t="shared" si="1"/>
        <v>506.94521600000002</v>
      </c>
      <c r="H24" s="52">
        <v>74.123999999999995</v>
      </c>
      <c r="I24" s="52">
        <v>71.935000000000002</v>
      </c>
      <c r="J24" s="52"/>
      <c r="K24" s="13">
        <v>1999</v>
      </c>
      <c r="L24" s="52">
        <v>499.63800000000003</v>
      </c>
      <c r="M24" s="52">
        <v>376.16075000000001</v>
      </c>
      <c r="N24" s="51">
        <v>84.3</v>
      </c>
      <c r="O24" s="51">
        <v>102.4</v>
      </c>
      <c r="Q24" s="15">
        <v>230.1</v>
      </c>
      <c r="R24" s="15">
        <v>252.7</v>
      </c>
      <c r="T24" s="15">
        <f t="shared" si="2"/>
        <v>20.988780443309313</v>
      </c>
      <c r="U24" s="15">
        <f t="shared" si="3"/>
        <v>17.122916384333919</v>
      </c>
      <c r="AC24" s="42"/>
      <c r="AD24" s="42"/>
      <c r="AE24" s="42"/>
    </row>
    <row r="25" spans="1:31">
      <c r="A25" s="13">
        <v>1988</v>
      </c>
      <c r="B25" s="52">
        <v>444.6</v>
      </c>
      <c r="C25" s="52">
        <v>554</v>
      </c>
      <c r="D25" s="52">
        <v>26.039000000000001</v>
      </c>
      <c r="E25" s="52">
        <v>26.631</v>
      </c>
      <c r="F25" s="52">
        <f t="shared" si="0"/>
        <v>411.93698000000006</v>
      </c>
      <c r="G25" s="52">
        <f t="shared" si="1"/>
        <v>526.867704</v>
      </c>
      <c r="H25" s="52">
        <v>77.92</v>
      </c>
      <c r="I25" s="52">
        <v>75.376999999999995</v>
      </c>
      <c r="J25" s="52"/>
      <c r="K25" s="13">
        <v>2000</v>
      </c>
      <c r="L25" s="52">
        <v>544.83575000000008</v>
      </c>
      <c r="M25" s="52">
        <v>408.11824999999999</v>
      </c>
      <c r="N25" s="51">
        <v>89.7</v>
      </c>
      <c r="O25" s="51">
        <v>104.4</v>
      </c>
      <c r="Q25" s="15">
        <v>280.8</v>
      </c>
      <c r="R25" s="15">
        <v>293.8</v>
      </c>
      <c r="T25" s="15">
        <f t="shared" si="2"/>
        <v>25.613426981665604</v>
      </c>
      <c r="U25" s="15">
        <f t="shared" si="3"/>
        <v>19.907846591679089</v>
      </c>
      <c r="W25" s="15">
        <f>100*($N$33/$N$32-1)</f>
        <v>10.64516129032258</v>
      </c>
      <c r="X25" s="15">
        <v>2008</v>
      </c>
      <c r="AC25" s="42"/>
      <c r="AD25" s="42"/>
      <c r="AE25" s="42"/>
    </row>
    <row r="26" spans="1:31">
      <c r="A26" s="13">
        <v>1989</v>
      </c>
      <c r="B26" s="52">
        <v>504.3</v>
      </c>
      <c r="C26" s="52">
        <v>591</v>
      </c>
      <c r="D26" s="52">
        <v>29.053999999999998</v>
      </c>
      <c r="E26" s="52">
        <v>27.803000000000001</v>
      </c>
      <c r="F26" s="52">
        <f t="shared" si="0"/>
        <v>459.63427999999999</v>
      </c>
      <c r="G26" s="52">
        <f t="shared" si="1"/>
        <v>550.05455200000006</v>
      </c>
      <c r="H26" s="52">
        <v>79.209999999999994</v>
      </c>
      <c r="I26" s="52">
        <v>77.024000000000001</v>
      </c>
      <c r="J26" s="52"/>
      <c r="K26" s="13">
        <v>2001</v>
      </c>
      <c r="L26" s="52">
        <v>528.66075000000001</v>
      </c>
      <c r="M26" s="52">
        <v>387.97</v>
      </c>
      <c r="N26" s="51">
        <v>90.9</v>
      </c>
      <c r="O26" s="51">
        <v>107</v>
      </c>
      <c r="Q26" s="15">
        <v>305.2</v>
      </c>
      <c r="R26" s="15">
        <v>317.8</v>
      </c>
      <c r="T26" s="15">
        <f t="shared" si="2"/>
        <v>27.8390951381921</v>
      </c>
      <c r="U26" s="15">
        <f t="shared" si="3"/>
        <v>21.534083209106928</v>
      </c>
      <c r="W26" s="15" t="e">
        <f>100*($N$6/#REF!-1)</f>
        <v>#REF!</v>
      </c>
      <c r="X26" s="15">
        <v>1981</v>
      </c>
      <c r="AC26" s="42"/>
      <c r="AD26" s="42"/>
      <c r="AE26" s="42"/>
    </row>
    <row r="27" spans="1:31">
      <c r="A27" s="13">
        <v>1990</v>
      </c>
      <c r="B27" s="52">
        <v>551.9</v>
      </c>
      <c r="C27" s="52">
        <v>629.70000000000005</v>
      </c>
      <c r="D27" s="52">
        <v>31.617000000000001</v>
      </c>
      <c r="E27" s="52">
        <v>28.797999999999998</v>
      </c>
      <c r="F27" s="52">
        <f t="shared" si="0"/>
        <v>500.18094000000002</v>
      </c>
      <c r="G27" s="52">
        <f t="shared" si="1"/>
        <v>569.73963200000003</v>
      </c>
      <c r="H27" s="52">
        <v>79.656999999999996</v>
      </c>
      <c r="I27" s="52">
        <v>79.233000000000004</v>
      </c>
      <c r="J27" s="52"/>
      <c r="K27" s="13">
        <v>2002</v>
      </c>
      <c r="L27" s="52">
        <v>534.95249999999999</v>
      </c>
      <c r="M27" s="52">
        <v>395.03424999999999</v>
      </c>
      <c r="N27" s="51">
        <v>89.2</v>
      </c>
      <c r="O27" s="51">
        <v>107.6</v>
      </c>
      <c r="Q27" s="15">
        <v>283.2</v>
      </c>
      <c r="R27" s="15">
        <v>303.2</v>
      </c>
      <c r="T27" s="15">
        <f t="shared" si="2"/>
        <v>25.832345160996077</v>
      </c>
      <c r="U27" s="15">
        <f t="shared" si="3"/>
        <v>20.544789266838325</v>
      </c>
      <c r="W27" s="15">
        <f>100*($N$20/$N$19-1)</f>
        <v>6.2261753494281979</v>
      </c>
      <c r="X27" s="15">
        <v>1995</v>
      </c>
      <c r="AC27" s="42"/>
      <c r="AD27" s="42"/>
      <c r="AE27" s="42"/>
    </row>
    <row r="28" spans="1:31">
      <c r="A28" s="13">
        <v>1991</v>
      </c>
      <c r="B28" s="52">
        <v>594.9</v>
      </c>
      <c r="C28" s="52">
        <v>623.5</v>
      </c>
      <c r="D28" s="52">
        <v>33.707999999999998</v>
      </c>
      <c r="E28" s="52">
        <v>28.754999999999999</v>
      </c>
      <c r="F28" s="52">
        <f t="shared" si="0"/>
        <v>533.26055999999994</v>
      </c>
      <c r="G28" s="52">
        <f t="shared" si="1"/>
        <v>568.88891999999998</v>
      </c>
      <c r="H28" s="52">
        <v>80.545000000000002</v>
      </c>
      <c r="I28" s="52">
        <v>78.572999999999993</v>
      </c>
      <c r="J28" s="52"/>
      <c r="K28" s="13">
        <v>2003</v>
      </c>
      <c r="L28" s="52">
        <v>525.71249999999998</v>
      </c>
      <c r="M28" s="52">
        <v>411.73500000000001</v>
      </c>
      <c r="N28" s="51">
        <v>87.8</v>
      </c>
      <c r="O28" s="51">
        <v>100.3</v>
      </c>
      <c r="Q28" s="15">
        <v>277</v>
      </c>
      <c r="R28" s="15">
        <v>328.6</v>
      </c>
      <c r="T28" s="15">
        <f t="shared" si="2"/>
        <v>25.266806531059018</v>
      </c>
      <c r="U28" s="15">
        <f t="shared" si="3"/>
        <v>22.265889686949453</v>
      </c>
      <c r="W28" s="15">
        <f>100*($N$25/$N$24-1)</f>
        <v>6.4056939501779375</v>
      </c>
      <c r="X28" s="15">
        <v>2000</v>
      </c>
      <c r="AC28" s="42"/>
      <c r="AD28" s="42"/>
      <c r="AE28" s="42"/>
    </row>
    <row r="29" spans="1:31">
      <c r="A29" s="13">
        <v>1992</v>
      </c>
      <c r="B29" s="52">
        <v>633.1</v>
      </c>
      <c r="C29" s="52">
        <v>667.8</v>
      </c>
      <c r="D29" s="52">
        <v>36.042999999999999</v>
      </c>
      <c r="E29" s="52">
        <v>30.77</v>
      </c>
      <c r="F29" s="52">
        <f t="shared" si="0"/>
        <v>570.20025999999996</v>
      </c>
      <c r="G29" s="52">
        <f t="shared" si="1"/>
        <v>608.75368000000003</v>
      </c>
      <c r="H29" s="52">
        <v>80.153000000000006</v>
      </c>
      <c r="I29" s="52">
        <v>78.635999999999996</v>
      </c>
      <c r="J29" s="52"/>
      <c r="K29" s="13">
        <v>2004</v>
      </c>
      <c r="L29" s="52">
        <v>554.79399999999987</v>
      </c>
      <c r="M29" s="52">
        <v>446.62400000000002</v>
      </c>
      <c r="N29" s="51">
        <v>89.7</v>
      </c>
      <c r="O29" s="51">
        <v>98.1</v>
      </c>
      <c r="Q29" s="15">
        <v>302.39999999999998</v>
      </c>
      <c r="R29" s="15">
        <v>405.1</v>
      </c>
      <c r="T29" s="15">
        <f t="shared" si="2"/>
        <v>27.583690595639876</v>
      </c>
      <c r="U29" s="15">
        <f t="shared" si="3"/>
        <v>27.44951890500068</v>
      </c>
      <c r="W29" s="15">
        <f>100*($N$19/$N$18-1)</f>
        <v>5.6375838926174593</v>
      </c>
      <c r="X29" s="15">
        <v>1994</v>
      </c>
      <c r="AC29" s="42"/>
      <c r="AD29" s="42"/>
      <c r="AE29" s="42"/>
    </row>
    <row r="30" spans="1:31">
      <c r="A30" s="13">
        <v>1993</v>
      </c>
      <c r="B30" s="52">
        <v>654.79999999999995</v>
      </c>
      <c r="C30" s="52">
        <v>720</v>
      </c>
      <c r="D30" s="52">
        <v>37.222999999999999</v>
      </c>
      <c r="E30" s="52">
        <v>33.430999999999997</v>
      </c>
      <c r="F30" s="52">
        <f t="shared" si="0"/>
        <v>588.86785999999995</v>
      </c>
      <c r="G30" s="52">
        <f t="shared" si="1"/>
        <v>661.39890400000002</v>
      </c>
      <c r="H30" s="52">
        <v>80.277000000000001</v>
      </c>
      <c r="I30" s="52">
        <v>78.033000000000001</v>
      </c>
      <c r="J30" s="52"/>
      <c r="K30" s="13">
        <v>2005</v>
      </c>
      <c r="L30" s="52">
        <v>567.11275000000001</v>
      </c>
      <c r="M30" s="52">
        <v>479.27525000000003</v>
      </c>
      <c r="N30" s="51">
        <v>92.1</v>
      </c>
      <c r="O30" s="51">
        <v>97.4</v>
      </c>
      <c r="Q30" s="15">
        <v>302</v>
      </c>
      <c r="R30" s="15">
        <v>417.2</v>
      </c>
      <c r="T30" s="15">
        <f t="shared" si="2"/>
        <v>27.547204232418132</v>
      </c>
      <c r="U30" s="15">
        <f t="shared" si="3"/>
        <v>28.269413199620548</v>
      </c>
      <c r="W30" s="15">
        <f>100*($N$18/$N$17-1)</f>
        <v>4.4880785413744739</v>
      </c>
      <c r="X30" s="15">
        <v>1993</v>
      </c>
      <c r="AC30" s="42"/>
      <c r="AD30" s="42"/>
      <c r="AE30" s="42"/>
    </row>
    <row r="31" spans="1:31">
      <c r="A31" s="13">
        <v>1994</v>
      </c>
      <c r="B31" s="52">
        <v>720.9</v>
      </c>
      <c r="C31" s="52">
        <v>813.4</v>
      </c>
      <c r="D31" s="52">
        <v>40.512999999999998</v>
      </c>
      <c r="E31" s="52">
        <v>37.418999999999997</v>
      </c>
      <c r="F31" s="52">
        <f t="shared" si="0"/>
        <v>640.91566</v>
      </c>
      <c r="G31" s="52">
        <f t="shared" si="1"/>
        <v>740.29749599999991</v>
      </c>
      <c r="H31" s="52">
        <v>81.209999999999994</v>
      </c>
      <c r="I31" s="52">
        <v>78.766000000000005</v>
      </c>
      <c r="J31" s="52"/>
      <c r="K31" s="13">
        <v>2006</v>
      </c>
      <c r="L31" s="52">
        <v>572.03250000000003</v>
      </c>
      <c r="M31" s="52">
        <v>504.68425000000002</v>
      </c>
      <c r="N31" s="51">
        <v>92.3</v>
      </c>
      <c r="O31" s="51">
        <v>96.6</v>
      </c>
      <c r="Q31" s="15">
        <v>320.5</v>
      </c>
      <c r="R31" s="15">
        <v>453.3</v>
      </c>
      <c r="T31" s="15">
        <f t="shared" si="2"/>
        <v>29.234698531423881</v>
      </c>
      <c r="U31" s="15">
        <f t="shared" si="3"/>
        <v>30.715544111668247</v>
      </c>
      <c r="W31" s="15">
        <f>100*($N$9/$N$8-1)</f>
        <v>3.5928143712574911</v>
      </c>
      <c r="X31" s="15">
        <v>1984</v>
      </c>
      <c r="AC31" s="42"/>
      <c r="AD31" s="42"/>
      <c r="AE31" s="42"/>
    </row>
    <row r="32" spans="1:31">
      <c r="A32" s="13">
        <v>1995</v>
      </c>
      <c r="B32" s="52">
        <v>812.8</v>
      </c>
      <c r="C32" s="52">
        <v>902.6</v>
      </c>
      <c r="D32" s="52">
        <v>44.677</v>
      </c>
      <c r="E32" s="52">
        <v>40.412999999999997</v>
      </c>
      <c r="F32" s="52">
        <f t="shared" si="0"/>
        <v>706.79013999999995</v>
      </c>
      <c r="G32" s="52">
        <f t="shared" si="1"/>
        <v>799.53079199999991</v>
      </c>
      <c r="H32" s="52">
        <v>83.025000000000006</v>
      </c>
      <c r="I32" s="52">
        <v>80.924000000000007</v>
      </c>
      <c r="J32" s="52"/>
      <c r="K32" s="13">
        <v>2007</v>
      </c>
      <c r="L32" s="52">
        <v>578.56799999999998</v>
      </c>
      <c r="M32" s="52">
        <v>533.69499999999994</v>
      </c>
      <c r="N32" s="51">
        <v>93</v>
      </c>
      <c r="O32" s="51">
        <v>94.5</v>
      </c>
      <c r="Q32" s="15">
        <v>363.9</v>
      </c>
      <c r="R32" s="15">
        <v>509.1</v>
      </c>
      <c r="T32" s="15">
        <f t="shared" si="2"/>
        <v>33.193468940983308</v>
      </c>
      <c r="U32" s="15">
        <f t="shared" si="3"/>
        <v>34.496544247187963</v>
      </c>
      <c r="W32" s="15">
        <f>100*($N$30/$N$29-1)</f>
        <v>2.6755852842809347</v>
      </c>
      <c r="X32" s="15">
        <v>2005</v>
      </c>
      <c r="AC32" s="42"/>
      <c r="AD32" s="42"/>
      <c r="AE32" s="42"/>
    </row>
    <row r="33" spans="1:31">
      <c r="A33" s="13">
        <v>1996</v>
      </c>
      <c r="B33" s="52">
        <v>867.6</v>
      </c>
      <c r="C33" s="52">
        <v>964</v>
      </c>
      <c r="D33" s="52">
        <v>48.329000000000001</v>
      </c>
      <c r="E33" s="52">
        <v>43.927</v>
      </c>
      <c r="F33" s="52">
        <f t="shared" si="0"/>
        <v>764.56478000000004</v>
      </c>
      <c r="G33" s="52">
        <f t="shared" si="1"/>
        <v>869.05176800000004</v>
      </c>
      <c r="H33" s="52">
        <v>81.923000000000002</v>
      </c>
      <c r="I33" s="52">
        <v>79.513999999999996</v>
      </c>
      <c r="J33" s="52"/>
      <c r="K33" s="13">
        <v>2008</v>
      </c>
      <c r="L33" s="52">
        <v>552.27850000000001</v>
      </c>
      <c r="M33" s="52">
        <v>538.28174999999987</v>
      </c>
      <c r="N33" s="51">
        <v>102.9</v>
      </c>
      <c r="O33" s="51">
        <v>100.2</v>
      </c>
      <c r="Q33" s="15">
        <v>444.1</v>
      </c>
      <c r="R33" s="15">
        <v>554.5</v>
      </c>
      <c r="T33" s="15">
        <f t="shared" si="2"/>
        <v>40.508984766943357</v>
      </c>
      <c r="U33" s="15">
        <f t="shared" si="3"/>
        <v>37.572841848488956</v>
      </c>
      <c r="W33" s="15">
        <f>100*($N$17/$N$16-1)</f>
        <v>2.442528735632199</v>
      </c>
      <c r="X33" s="15">
        <v>1992</v>
      </c>
      <c r="AC33" s="42"/>
      <c r="AD33" s="42"/>
      <c r="AE33" s="42"/>
    </row>
    <row r="34" spans="1:31">
      <c r="A34" s="13">
        <v>1997</v>
      </c>
      <c r="B34" s="52">
        <v>953.8</v>
      </c>
      <c r="C34" s="52">
        <v>1055.8</v>
      </c>
      <c r="D34" s="52">
        <v>54.085000000000001</v>
      </c>
      <c r="E34" s="52">
        <v>49.843000000000004</v>
      </c>
      <c r="F34" s="52">
        <f t="shared" si="0"/>
        <v>855.62469999999996</v>
      </c>
      <c r="G34" s="52">
        <f t="shared" si="1"/>
        <v>986.09391200000016</v>
      </c>
      <c r="H34" s="52">
        <v>80.478999999999999</v>
      </c>
      <c r="I34" s="52">
        <v>76.75</v>
      </c>
      <c r="J34" s="52"/>
      <c r="K34" s="13">
        <v>2009</v>
      </c>
      <c r="L34" s="52">
        <v>480.66550000000001</v>
      </c>
      <c r="M34" s="52">
        <v>471.3175</v>
      </c>
      <c r="N34" s="51">
        <v>92.9</v>
      </c>
      <c r="O34" s="51">
        <v>99.5</v>
      </c>
      <c r="Q34" s="15">
        <v>503.3</v>
      </c>
      <c r="R34" s="15">
        <v>591.5</v>
      </c>
      <c r="T34" s="15">
        <f t="shared" si="2"/>
        <v>45.908966523761748</v>
      </c>
      <c r="U34" s="15">
        <f t="shared" si="3"/>
        <v>40.079956633690209</v>
      </c>
      <c r="W34" s="15">
        <f>100*($N$14/$N$13-1)</f>
        <v>2.1037868162692819</v>
      </c>
      <c r="X34" s="15">
        <v>1989</v>
      </c>
      <c r="AC34" s="42"/>
      <c r="AD34" s="42"/>
      <c r="AE34" s="42"/>
    </row>
    <row r="35" spans="1:31">
      <c r="A35" s="13">
        <v>1998</v>
      </c>
      <c r="B35" s="52">
        <v>953</v>
      </c>
      <c r="C35" s="52">
        <v>1115.7</v>
      </c>
      <c r="D35" s="52">
        <v>55.348999999999997</v>
      </c>
      <c r="E35" s="52">
        <v>55.668999999999997</v>
      </c>
      <c r="F35" s="52">
        <f t="shared" si="0"/>
        <v>875.62117999999987</v>
      </c>
      <c r="G35" s="52">
        <f t="shared" si="1"/>
        <v>1101.3554959999999</v>
      </c>
      <c r="H35" s="52">
        <v>78.573999999999998</v>
      </c>
      <c r="I35" s="52">
        <v>72.617999999999995</v>
      </c>
      <c r="J35" s="52"/>
      <c r="K35" s="13">
        <v>2010</v>
      </c>
      <c r="L35" s="52">
        <v>512.57550000000003</v>
      </c>
      <c r="M35" s="52">
        <v>536.20249999999999</v>
      </c>
      <c r="N35" s="51">
        <v>94.4</v>
      </c>
      <c r="O35" s="51">
        <v>96.1</v>
      </c>
      <c r="Q35" s="15">
        <v>552.4</v>
      </c>
      <c r="R35" s="15">
        <v>630.29999999999995</v>
      </c>
      <c r="T35" s="15">
        <f t="shared" si="2"/>
        <v>50.387667609231045</v>
      </c>
      <c r="U35" s="15">
        <f t="shared" si="3"/>
        <v>42.70903916519854</v>
      </c>
      <c r="W35" s="15">
        <f>100*($N$29/$N$28-1)</f>
        <v>2.1640091116173155</v>
      </c>
      <c r="X35" s="15">
        <v>2004</v>
      </c>
      <c r="AC35" s="42"/>
      <c r="AD35" s="42"/>
      <c r="AE35" s="42"/>
    </row>
    <row r="36" spans="1:31">
      <c r="A36" s="13">
        <v>1999</v>
      </c>
      <c r="B36" s="52">
        <v>992.8</v>
      </c>
      <c r="C36" s="52">
        <v>1248.5999999999999</v>
      </c>
      <c r="D36" s="52">
        <v>58.106000000000002</v>
      </c>
      <c r="E36" s="52">
        <v>61.959000000000003</v>
      </c>
      <c r="F36" s="52">
        <f t="shared" si="0"/>
        <v>919.23691999999994</v>
      </c>
      <c r="G36" s="52">
        <f t="shared" si="1"/>
        <v>1225.7968560000002</v>
      </c>
      <c r="H36" s="52">
        <v>77.971000000000004</v>
      </c>
      <c r="I36" s="52">
        <v>73.019000000000005</v>
      </c>
      <c r="J36" s="52"/>
      <c r="K36" s="13">
        <v>2011</v>
      </c>
      <c r="L36" s="52">
        <v>537.00699999999995</v>
      </c>
      <c r="M36" s="52">
        <v>566.08624999999995</v>
      </c>
      <c r="N36" s="51">
        <v>100.9</v>
      </c>
      <c r="O36" s="51">
        <v>99.4</v>
      </c>
      <c r="Q36" s="15">
        <v>596.79999999999995</v>
      </c>
      <c r="R36" s="15">
        <v>624.29999999999995</v>
      </c>
      <c r="T36" s="15">
        <f t="shared" si="2"/>
        <v>54.437653926844845</v>
      </c>
      <c r="U36" s="15">
        <f t="shared" si="3"/>
        <v>42.302480010841577</v>
      </c>
      <c r="W36" s="15">
        <f>100*($N$7/$N$6-1)</f>
        <v>2.0155038759689825</v>
      </c>
      <c r="X36" s="15">
        <v>1982</v>
      </c>
      <c r="AC36" s="42"/>
      <c r="AD36" s="42"/>
      <c r="AE36" s="42"/>
    </row>
    <row r="37" spans="1:31">
      <c r="A37" s="13">
        <v>2000</v>
      </c>
      <c r="B37" s="52">
        <v>1096.3</v>
      </c>
      <c r="C37" s="52">
        <v>1471.3</v>
      </c>
      <c r="D37" s="52">
        <v>62.954000000000001</v>
      </c>
      <c r="E37" s="52">
        <v>69.941999999999993</v>
      </c>
      <c r="F37" s="52">
        <f t="shared" si="0"/>
        <v>995.93227999999999</v>
      </c>
      <c r="G37" s="52">
        <f t="shared" si="1"/>
        <v>1383.7325279999998</v>
      </c>
      <c r="H37" s="52">
        <v>79.466999999999999</v>
      </c>
      <c r="I37" s="52">
        <v>76.221000000000004</v>
      </c>
      <c r="J37" s="52"/>
      <c r="K37" s="13">
        <v>2012</v>
      </c>
      <c r="L37" s="52">
        <v>551.86299999999994</v>
      </c>
      <c r="M37" s="52">
        <v>587.01499999999999</v>
      </c>
      <c r="N37" s="51">
        <v>100</v>
      </c>
      <c r="O37" s="51">
        <v>100</v>
      </c>
      <c r="Q37" s="15">
        <v>635.29999999999995</v>
      </c>
      <c r="R37" s="15">
        <v>668.6</v>
      </c>
      <c r="T37" s="15">
        <f t="shared" si="2"/>
        <v>57.949466386937878</v>
      </c>
      <c r="U37" s="15">
        <f t="shared" si="3"/>
        <v>45.304241767177125</v>
      </c>
      <c r="W37" s="15">
        <f>100*($N$12/$N$11-1)</f>
        <v>1.862464183381074</v>
      </c>
      <c r="X37" s="15">
        <v>1987</v>
      </c>
      <c r="AC37" s="42"/>
      <c r="AD37" s="42"/>
      <c r="AE37" s="42"/>
    </row>
    <row r="38" spans="1:31">
      <c r="A38" s="13">
        <v>2001</v>
      </c>
      <c r="B38" s="52">
        <v>1024.5999999999999</v>
      </c>
      <c r="C38" s="52">
        <v>1392.6</v>
      </c>
      <c r="D38" s="52">
        <v>59.313000000000002</v>
      </c>
      <c r="E38" s="52">
        <v>67.981999999999999</v>
      </c>
      <c r="F38" s="52">
        <f t="shared" si="0"/>
        <v>938.33165999999994</v>
      </c>
      <c r="G38" s="52">
        <f t="shared" si="1"/>
        <v>1344.955888</v>
      </c>
      <c r="H38" s="52">
        <v>78.835999999999999</v>
      </c>
      <c r="I38" s="52">
        <v>74.222999999999999</v>
      </c>
      <c r="J38" s="52"/>
      <c r="K38" s="13">
        <v>2013</v>
      </c>
      <c r="L38" s="52">
        <v>565.029</v>
      </c>
      <c r="M38" s="52">
        <v>598.67550000000006</v>
      </c>
      <c r="N38" s="51">
        <v>101.5</v>
      </c>
      <c r="O38" s="51">
        <v>100.9</v>
      </c>
      <c r="Q38" s="15">
        <v>655.8</v>
      </c>
      <c r="R38" s="15">
        <v>720.9</v>
      </c>
      <c r="T38" s="15">
        <f t="shared" si="2"/>
        <v>59.819392502052359</v>
      </c>
      <c r="U38" s="15">
        <f t="shared" si="3"/>
        <v>48.848082395988619</v>
      </c>
      <c r="W38" s="15">
        <f>100*($N$10/$N$9-1)</f>
        <v>2.1676300578034713</v>
      </c>
      <c r="X38" s="15">
        <v>1985</v>
      </c>
    </row>
    <row r="39" spans="1:31">
      <c r="A39" s="13">
        <v>2002</v>
      </c>
      <c r="B39" s="52">
        <v>998.7</v>
      </c>
      <c r="C39" s="52">
        <v>1424.1</v>
      </c>
      <c r="D39" s="52">
        <v>58.283000000000001</v>
      </c>
      <c r="E39" s="52">
        <v>70.453999999999994</v>
      </c>
      <c r="F39" s="52">
        <f t="shared" si="0"/>
        <v>922.03706000000011</v>
      </c>
      <c r="G39" s="52">
        <f t="shared" si="1"/>
        <v>1393.861936</v>
      </c>
      <c r="H39" s="52">
        <v>78.200999999999993</v>
      </c>
      <c r="I39" s="52">
        <v>73.242000000000004</v>
      </c>
      <c r="J39" s="52"/>
      <c r="K39" s="13">
        <v>2014</v>
      </c>
      <c r="L39" s="52">
        <v>600.2405</v>
      </c>
      <c r="M39" s="52">
        <v>613.36500000000001</v>
      </c>
      <c r="N39" s="52">
        <v>104.8</v>
      </c>
      <c r="O39" s="52">
        <v>105.6</v>
      </c>
      <c r="P39" s="54">
        <v>-105.652</v>
      </c>
      <c r="Q39" s="54">
        <v>-282.67529999999999</v>
      </c>
      <c r="R39" s="54">
        <v>-459.6986</v>
      </c>
      <c r="S39" s="55">
        <v>-636.72190000000001</v>
      </c>
      <c r="T39" s="54">
        <v>-813.74519999999995</v>
      </c>
      <c r="U39" s="54">
        <v>-990.76850000000002</v>
      </c>
      <c r="V39" s="54">
        <v>-1167.7918</v>
      </c>
      <c r="W39" s="55">
        <v>-1344.8151</v>
      </c>
      <c r="X39" s="54">
        <v>-1521.8384000000001</v>
      </c>
      <c r="Y39" s="54">
        <v>-1698.8616999999999</v>
      </c>
      <c r="Z39" s="54">
        <v>-1875.885</v>
      </c>
      <c r="AA39" s="55">
        <v>-2052.9083000000001</v>
      </c>
    </row>
    <row r="40" spans="1:31">
      <c r="A40" s="13">
        <v>2003</v>
      </c>
      <c r="B40" s="52">
        <v>1036.2</v>
      </c>
      <c r="C40" s="52">
        <v>1539.3</v>
      </c>
      <c r="D40" s="52">
        <v>59.555</v>
      </c>
      <c r="E40" s="52">
        <v>73.918999999999997</v>
      </c>
      <c r="F40" s="52">
        <f t="shared" si="0"/>
        <v>942.16009999999994</v>
      </c>
      <c r="G40" s="52">
        <f t="shared" si="1"/>
        <v>1462.4134959999999</v>
      </c>
      <c r="H40" s="52">
        <v>79.400000000000006</v>
      </c>
      <c r="I40" s="52">
        <v>75.453999999999994</v>
      </c>
      <c r="J40" s="52"/>
      <c r="K40" s="13">
        <v>2015</v>
      </c>
      <c r="L40" s="52">
        <v>620.45699999999999</v>
      </c>
      <c r="M40" s="52">
        <v>617.06174999999996</v>
      </c>
      <c r="N40" s="52">
        <v>101.4</v>
      </c>
      <c r="O40" s="52">
        <v>109.9</v>
      </c>
      <c r="Q40" s="15">
        <v>812.2</v>
      </c>
      <c r="R40" s="15">
        <v>903.6</v>
      </c>
      <c r="T40" s="15">
        <f t="shared" si="2"/>
        <v>74.085560521754999</v>
      </c>
      <c r="U40" s="15">
        <f t="shared" si="3"/>
        <v>61.227808646158024</v>
      </c>
      <c r="W40" s="15">
        <f>100*($N$8/$N$7-1)</f>
        <v>1.5197568389057725</v>
      </c>
      <c r="X40" s="15">
        <v>1983</v>
      </c>
    </row>
    <row r="41" spans="1:31">
      <c r="A41" s="13">
        <v>2004</v>
      </c>
      <c r="B41" s="52">
        <v>1177.5999999999999</v>
      </c>
      <c r="C41" s="52">
        <v>1796.7</v>
      </c>
      <c r="D41" s="52">
        <v>65.313000000000002</v>
      </c>
      <c r="E41" s="52">
        <v>82.344999999999999</v>
      </c>
      <c r="F41" s="52">
        <f t="shared" si="0"/>
        <v>1033.2516599999999</v>
      </c>
      <c r="G41" s="52">
        <f t="shared" si="1"/>
        <v>1629.11348</v>
      </c>
      <c r="H41" s="52">
        <v>82.284000000000006</v>
      </c>
      <c r="I41" s="52">
        <v>79.06</v>
      </c>
      <c r="J41" s="52"/>
      <c r="K41" s="13">
        <v>2016</v>
      </c>
      <c r="L41" s="52">
        <v>628.67525000000001</v>
      </c>
      <c r="M41" s="52">
        <v>617.04225000000008</v>
      </c>
      <c r="N41" s="51">
        <v>100.6</v>
      </c>
      <c r="O41" s="51">
        <v>110.4</v>
      </c>
      <c r="Q41" s="15">
        <v>868.6</v>
      </c>
      <c r="R41" s="15">
        <v>964.8</v>
      </c>
      <c r="T41" s="15">
        <f t="shared" si="2"/>
        <v>79.230137736021163</v>
      </c>
      <c r="U41" s="15">
        <f t="shared" si="3"/>
        <v>65.374712020598992</v>
      </c>
      <c r="W41" s="15">
        <f>100*($N$24/$N$23-1)</f>
        <v>1.0791366906474753</v>
      </c>
      <c r="X41" s="15">
        <v>1999</v>
      </c>
    </row>
    <row r="42" spans="1:31">
      <c r="A42" s="13">
        <v>2005</v>
      </c>
      <c r="B42" s="52">
        <v>1305.2</v>
      </c>
      <c r="C42" s="52">
        <v>2026.4</v>
      </c>
      <c r="D42" s="52">
        <v>69.968000000000004</v>
      </c>
      <c r="E42" s="52">
        <v>87.721000000000004</v>
      </c>
      <c r="F42" s="52">
        <f t="shared" si="0"/>
        <v>1106.8937599999999</v>
      </c>
      <c r="G42" s="52">
        <f t="shared" si="1"/>
        <v>1735.4722640000002</v>
      </c>
      <c r="H42" s="52">
        <v>85.131</v>
      </c>
      <c r="I42" s="52">
        <v>83.703000000000003</v>
      </c>
      <c r="J42" s="52"/>
      <c r="K42" s="13">
        <v>2017</v>
      </c>
      <c r="L42" s="52">
        <v>635.69675000000007</v>
      </c>
      <c r="M42" s="52">
        <v>643.03775000000007</v>
      </c>
      <c r="N42" s="51">
        <v>104.6</v>
      </c>
      <c r="O42" s="51">
        <v>111.1</v>
      </c>
      <c r="Q42" s="15">
        <v>955.3</v>
      </c>
      <c r="R42" s="15">
        <v>1056.9000000000001</v>
      </c>
      <c r="T42" s="15">
        <f t="shared" si="2"/>
        <v>87.138556964334583</v>
      </c>
      <c r="U42" s="15">
        <f t="shared" si="3"/>
        <v>71.615395039978324</v>
      </c>
      <c r="W42" s="15">
        <f>100*($N$32/$N$31-1)</f>
        <v>0.75839653304441423</v>
      </c>
      <c r="X42" s="15">
        <v>2007</v>
      </c>
    </row>
    <row r="43" spans="1:31">
      <c r="A43" s="13">
        <v>2006</v>
      </c>
      <c r="B43" s="52">
        <v>1472.6</v>
      </c>
      <c r="C43" s="52">
        <v>2243.5</v>
      </c>
      <c r="D43" s="52">
        <v>76.504999999999995</v>
      </c>
      <c r="E43" s="52">
        <v>93.537000000000006</v>
      </c>
      <c r="F43" s="52">
        <f t="shared" si="0"/>
        <v>1210.3090999999999</v>
      </c>
      <c r="G43" s="52">
        <f t="shared" si="1"/>
        <v>1850.536008</v>
      </c>
      <c r="H43" s="52">
        <v>87.841999999999999</v>
      </c>
      <c r="I43" s="52">
        <v>86.909000000000006</v>
      </c>
      <c r="J43" s="52"/>
      <c r="K43" s="13">
        <v>2018</v>
      </c>
      <c r="L43" s="52">
        <v>656.20500000000004</v>
      </c>
      <c r="M43" s="52">
        <v>661.68499999999995</v>
      </c>
      <c r="N43" s="51">
        <v>107.6</v>
      </c>
      <c r="O43" s="51">
        <v>113.8</v>
      </c>
      <c r="P43" s="59" t="e">
        <f t="shared" ref="P43:AA43" si="4">100*((P33/P6)^(1/27)-1)</f>
        <v>#DIV/0!</v>
      </c>
      <c r="Q43" s="74" t="e">
        <f t="shared" si="4"/>
        <v>#DIV/0!</v>
      </c>
      <c r="R43" s="74" t="e">
        <f t="shared" si="4"/>
        <v>#DIV/0!</v>
      </c>
      <c r="S43" s="74" t="e">
        <f t="shared" si="4"/>
        <v>#DIV/0!</v>
      </c>
      <c r="T43" s="74" t="e">
        <f t="shared" si="4"/>
        <v>#DIV/0!</v>
      </c>
      <c r="U43" s="74" t="e">
        <f t="shared" si="4"/>
        <v>#DIV/0!</v>
      </c>
      <c r="V43" s="74" t="e">
        <f t="shared" si="4"/>
        <v>#DIV/0!</v>
      </c>
      <c r="W43" s="74" t="e">
        <f t="shared" si="4"/>
        <v>#DIV/0!</v>
      </c>
      <c r="X43" s="74" t="e">
        <f t="shared" si="4"/>
        <v>#DIV/0!</v>
      </c>
      <c r="Y43" s="74" t="e">
        <f t="shared" si="4"/>
        <v>#DIV/0!</v>
      </c>
      <c r="Z43" s="74" t="e">
        <f t="shared" si="4"/>
        <v>#DIV/0!</v>
      </c>
      <c r="AA43" s="74" t="e">
        <f t="shared" si="4"/>
        <v>#DIV/0!</v>
      </c>
    </row>
    <row r="44" spans="1:31">
      <c r="A44" s="13">
        <v>2007</v>
      </c>
      <c r="B44" s="52">
        <v>1660.9</v>
      </c>
      <c r="C44" s="52">
        <v>2379.3000000000002</v>
      </c>
      <c r="D44" s="52">
        <v>83.162000000000006</v>
      </c>
      <c r="E44" s="52">
        <v>95.873999999999995</v>
      </c>
      <c r="F44" s="52">
        <f t="shared" si="0"/>
        <v>1315.6228400000002</v>
      </c>
      <c r="G44" s="52">
        <f t="shared" si="1"/>
        <v>1896.7712160000001</v>
      </c>
      <c r="H44" s="52">
        <v>91.138999999999996</v>
      </c>
      <c r="I44" s="52">
        <v>89.921000000000006</v>
      </c>
      <c r="J44" s="52"/>
      <c r="Q44" s="15">
        <v>991.2</v>
      </c>
      <c r="R44" s="15">
        <v>1251.7</v>
      </c>
      <c r="T44" s="15">
        <f t="shared" si="2"/>
        <v>90.41320806348628</v>
      </c>
      <c r="U44" s="15">
        <f t="shared" si="3"/>
        <v>84.815015584767593</v>
      </c>
      <c r="W44" s="15">
        <f>100*($N$13/$N$12-1)</f>
        <v>0.2812939521800395</v>
      </c>
      <c r="X44" s="15">
        <v>1988</v>
      </c>
    </row>
    <row r="45" spans="1:31">
      <c r="A45" s="13">
        <v>2008</v>
      </c>
      <c r="B45" s="52">
        <v>1837.1</v>
      </c>
      <c r="C45" s="52">
        <v>2560.1</v>
      </c>
      <c r="D45" s="52">
        <v>87.867999999999995</v>
      </c>
      <c r="E45" s="52">
        <v>93.739000000000004</v>
      </c>
      <c r="F45" s="52">
        <f t="shared" si="0"/>
        <v>1390.0717599999998</v>
      </c>
      <c r="G45" s="52">
        <f t="shared" si="1"/>
        <v>1854.5323760000001</v>
      </c>
      <c r="H45" s="52">
        <v>95.41</v>
      </c>
      <c r="I45" s="52">
        <v>98.96</v>
      </c>
      <c r="J45" s="52"/>
      <c r="Q45" s="15">
        <v>1096.3</v>
      </c>
      <c r="R45" s="15">
        <v>1475.8</v>
      </c>
      <c r="T45" s="15">
        <f t="shared" si="2"/>
        <v>100</v>
      </c>
      <c r="U45" s="15">
        <f t="shared" si="3"/>
        <v>100</v>
      </c>
      <c r="W45" s="15">
        <f>100*($N$22/$N$21-1)</f>
        <v>-0.23781212841853527</v>
      </c>
      <c r="X45" s="15">
        <v>1997</v>
      </c>
    </row>
    <row r="46" spans="1:31">
      <c r="A46" s="13">
        <v>2009</v>
      </c>
      <c r="B46" s="52">
        <v>1582</v>
      </c>
      <c r="C46" s="52">
        <v>1978.4</v>
      </c>
      <c r="D46" s="52">
        <v>80.489999999999995</v>
      </c>
      <c r="E46" s="52">
        <v>81.474999999999994</v>
      </c>
      <c r="F46" s="52">
        <f t="shared" si="0"/>
        <v>1273.3517999999999</v>
      </c>
      <c r="G46" s="52">
        <f t="shared" si="1"/>
        <v>1611.9013999999997</v>
      </c>
      <c r="H46" s="52">
        <v>89.694000000000003</v>
      </c>
      <c r="I46" s="52">
        <v>87.986999999999995</v>
      </c>
      <c r="J46" s="52"/>
      <c r="K46" s="5" t="s">
        <v>139</v>
      </c>
      <c r="L46" s="23"/>
      <c r="M46" s="23"/>
      <c r="N46" s="23"/>
      <c r="O46" s="9"/>
      <c r="Q46" s="15">
        <v>1032.8</v>
      </c>
      <c r="R46" s="15">
        <v>1399.8</v>
      </c>
      <c r="T46" s="15">
        <f t="shared" si="2"/>
        <v>94.207789838547839</v>
      </c>
      <c r="U46" s="15">
        <f t="shared" si="3"/>
        <v>94.850250711478523</v>
      </c>
      <c r="W46" s="15">
        <f>100*($N$31/$N$30-1)</f>
        <v>0.21715526601520097</v>
      </c>
      <c r="X46" s="15">
        <v>2006</v>
      </c>
    </row>
    <row r="47" spans="1:31">
      <c r="A47" s="13">
        <v>2010</v>
      </c>
      <c r="B47" s="52">
        <v>1846.3</v>
      </c>
      <c r="C47" s="52">
        <v>2360.1999999999998</v>
      </c>
      <c r="D47" s="52">
        <v>90.26</v>
      </c>
      <c r="E47" s="52">
        <v>92.17</v>
      </c>
      <c r="F47" s="52">
        <f t="shared" si="0"/>
        <v>1427.9132</v>
      </c>
      <c r="G47" s="52">
        <f t="shared" si="1"/>
        <v>1823.4912800000002</v>
      </c>
      <c r="H47" s="52">
        <v>93.347999999999999</v>
      </c>
      <c r="I47" s="52">
        <v>92.783000000000001</v>
      </c>
      <c r="J47" s="52"/>
      <c r="K47" s="66" t="s">
        <v>138</v>
      </c>
      <c r="L47" s="57">
        <f>100*((L14/L6)^(1/8)-1)</f>
        <v>5.4883162790004159</v>
      </c>
      <c r="M47" s="57">
        <f>100*((M14/M6)^(1/8)-1)</f>
        <v>5.95108771253825</v>
      </c>
      <c r="N47" s="57">
        <f>100*((N14/N6)^(1/8)-1)</f>
        <v>1.5246399768300334</v>
      </c>
      <c r="O47" s="58">
        <f>100*((O14/O6)^(1/8)-1)</f>
        <v>1.3973292572420748</v>
      </c>
      <c r="Q47" s="15">
        <v>1005.9</v>
      </c>
      <c r="R47" s="15">
        <v>1430.3</v>
      </c>
      <c r="T47" s="15">
        <f t="shared" si="2"/>
        <v>91.754081911885436</v>
      </c>
      <c r="U47" s="15">
        <f t="shared" si="3"/>
        <v>96.91692641279306</v>
      </c>
      <c r="W47" s="15">
        <f>100*($N$11/$N$10-1)</f>
        <v>-1.2729844413012836</v>
      </c>
      <c r="X47" s="15">
        <v>1986</v>
      </c>
    </row>
    <row r="48" spans="1:31">
      <c r="A48" s="13">
        <v>2011</v>
      </c>
      <c r="B48" s="52">
        <v>2103</v>
      </c>
      <c r="C48" s="52">
        <v>2682.5</v>
      </c>
      <c r="D48" s="52">
        <v>96.703999999999994</v>
      </c>
      <c r="E48" s="52">
        <v>97.364999999999995</v>
      </c>
      <c r="F48" s="52">
        <f t="shared" si="0"/>
        <v>1529.8572799999999</v>
      </c>
      <c r="G48" s="52">
        <f t="shared" si="1"/>
        <v>1926.2691600000001</v>
      </c>
      <c r="H48" s="52">
        <v>99.242000000000004</v>
      </c>
      <c r="I48" s="52">
        <v>99.825999999999993</v>
      </c>
      <c r="J48" s="52"/>
      <c r="K48" s="67" t="s">
        <v>27</v>
      </c>
      <c r="L48" s="10">
        <f>100*((L25/L14)^(1/11)-1)</f>
        <v>8.1172938600533087</v>
      </c>
      <c r="M48" s="10">
        <f>100*((M25/M14)^(1/11)-1)</f>
        <v>6.5602927696162272</v>
      </c>
      <c r="N48" s="10">
        <f>100*((N25/N14)^(1/11)-1)</f>
        <v>1.9158931669473356</v>
      </c>
      <c r="O48" s="11">
        <f>100*((O25/O14)^(1/11)-1)</f>
        <v>2.129647489036901</v>
      </c>
      <c r="P48" s="10" t="e">
        <f t="shared" ref="P48:AA48" si="5">100*((P37/P6)^(1/31)-1)</f>
        <v>#DIV/0!</v>
      </c>
      <c r="Q48" s="10" t="e">
        <f t="shared" si="5"/>
        <v>#DIV/0!</v>
      </c>
      <c r="R48" s="10" t="e">
        <f t="shared" si="5"/>
        <v>#DIV/0!</v>
      </c>
      <c r="S48" s="10" t="e">
        <f t="shared" si="5"/>
        <v>#DIV/0!</v>
      </c>
      <c r="T48" s="10" t="e">
        <f t="shared" si="5"/>
        <v>#DIV/0!</v>
      </c>
      <c r="U48" s="10" t="e">
        <f t="shared" si="5"/>
        <v>#DIV/0!</v>
      </c>
      <c r="V48" s="10" t="e">
        <f t="shared" si="5"/>
        <v>#DIV/0!</v>
      </c>
      <c r="W48" s="10" t="e">
        <f t="shared" si="5"/>
        <v>#DIV/0!</v>
      </c>
      <c r="X48" s="10" t="e">
        <f t="shared" si="5"/>
        <v>#DIV/0!</v>
      </c>
      <c r="Y48" s="10" t="e">
        <f t="shared" si="5"/>
        <v>#DIV/0!</v>
      </c>
      <c r="Z48" s="10" t="e">
        <f t="shared" si="5"/>
        <v>#DIV/0!</v>
      </c>
      <c r="AA48" s="10" t="e">
        <f t="shared" si="5"/>
        <v>#DIV/0!</v>
      </c>
    </row>
    <row r="49" spans="1:28">
      <c r="A49" s="13">
        <v>2012</v>
      </c>
      <c r="B49" s="52">
        <v>2191.3000000000002</v>
      </c>
      <c r="C49" s="52">
        <v>2759.9</v>
      </c>
      <c r="D49" s="52">
        <v>100</v>
      </c>
      <c r="E49" s="52">
        <v>100</v>
      </c>
      <c r="F49" s="52">
        <f>$B$46*D49/100</f>
        <v>1582</v>
      </c>
      <c r="G49" s="52">
        <f t="shared" si="1"/>
        <v>1978.4</v>
      </c>
      <c r="H49" s="52">
        <v>100</v>
      </c>
      <c r="I49" s="52">
        <v>100</v>
      </c>
      <c r="J49" s="52"/>
      <c r="K49" s="67" t="s">
        <v>28</v>
      </c>
      <c r="L49" s="10">
        <f>100*((L33/L25)^(1/8)-1)</f>
        <v>0.16974484044505189</v>
      </c>
      <c r="M49" s="10">
        <f>100*((M33/M25)^(1/8)-1)</f>
        <v>3.5208799626215814</v>
      </c>
      <c r="N49" s="10">
        <f>100*((N33/N25)^(1/8)-1)</f>
        <v>1.730895269072974</v>
      </c>
      <c r="O49" s="11">
        <f>100*((O33/O25)^(1/8)-1)</f>
        <v>-0.51195361251270555</v>
      </c>
      <c r="P49" s="59" t="e">
        <f t="shared" ref="P49:AA49" si="6">100*((P40/P25)^(1/15)-1)</f>
        <v>#DIV/0!</v>
      </c>
      <c r="Q49" s="59">
        <f t="shared" si="6"/>
        <v>7.33739690554982</v>
      </c>
      <c r="R49" s="59">
        <f t="shared" si="6"/>
        <v>7.7775471210585589</v>
      </c>
      <c r="S49" s="59" t="e">
        <f t="shared" si="6"/>
        <v>#DIV/0!</v>
      </c>
      <c r="T49" s="59">
        <f t="shared" si="6"/>
        <v>7.33739690554982</v>
      </c>
      <c r="U49" s="59">
        <f t="shared" si="6"/>
        <v>7.7775471210585589</v>
      </c>
      <c r="V49" s="59" t="e">
        <f t="shared" si="6"/>
        <v>#DIV/0!</v>
      </c>
      <c r="W49" s="59">
        <f t="shared" si="6"/>
        <v>-12.170288265975183</v>
      </c>
      <c r="X49" s="59">
        <f t="shared" si="6"/>
        <v>-8.3487478407384685E-2</v>
      </c>
      <c r="Y49" s="59" t="e">
        <f t="shared" si="6"/>
        <v>#DIV/0!</v>
      </c>
      <c r="Z49" s="59" t="e">
        <f t="shared" si="6"/>
        <v>#DIV/0!</v>
      </c>
      <c r="AA49" s="59" t="e">
        <f t="shared" si="6"/>
        <v>#DIV/0!</v>
      </c>
    </row>
    <row r="50" spans="1:28" s="42" customFormat="1">
      <c r="A50" s="13">
        <v>2013</v>
      </c>
      <c r="B50" s="52">
        <v>2273.4</v>
      </c>
      <c r="C50" s="52">
        <v>2764.2</v>
      </c>
      <c r="D50" s="52">
        <v>103.575</v>
      </c>
      <c r="E50" s="52">
        <v>101.54300000000001</v>
      </c>
      <c r="F50" s="52">
        <f>$B$46*D50/100</f>
        <v>1638.5564999999999</v>
      </c>
      <c r="G50" s="52">
        <f t="shared" si="1"/>
        <v>2008.9267120000002</v>
      </c>
      <c r="H50" s="52">
        <v>100.16800000000001</v>
      </c>
      <c r="I50" s="52">
        <v>98.635999999999996</v>
      </c>
      <c r="J50" s="52"/>
      <c r="K50" s="68" t="s">
        <v>152</v>
      </c>
      <c r="L50" s="59">
        <f>100*((L33/L6)^(1/27)-1)</f>
        <v>4.930743562843265</v>
      </c>
      <c r="M50" s="59">
        <f>100*((M33/M6)^(1/27)-1)</f>
        <v>5.4712134648831068</v>
      </c>
      <c r="N50" s="59">
        <f>100*((N33/N6)^(1/27)-1)</f>
        <v>1.7450226022044157</v>
      </c>
      <c r="O50" s="60">
        <f>100*((O33/O6)^(1/27)-1)</f>
        <v>1.1238709374512768</v>
      </c>
      <c r="P50" s="10" t="e">
        <f t="shared" ref="P50:AA50" si="7">100*((P40/P33)^(1/7)-1)</f>
        <v>#DIV/0!</v>
      </c>
      <c r="Q50" s="10">
        <f t="shared" si="7"/>
        <v>9.0070537625236202</v>
      </c>
      <c r="R50" s="10">
        <f t="shared" si="7"/>
        <v>7.2250806776438248</v>
      </c>
      <c r="S50" s="10" t="e">
        <f t="shared" si="7"/>
        <v>#DIV/0!</v>
      </c>
      <c r="T50" s="10">
        <f t="shared" si="7"/>
        <v>9.0070537625236202</v>
      </c>
      <c r="U50" s="10">
        <f t="shared" si="7"/>
        <v>7.2250806776438248</v>
      </c>
      <c r="V50" s="10" t="e">
        <f t="shared" si="7"/>
        <v>#DIV/0!</v>
      </c>
      <c r="W50" s="10">
        <f t="shared" si="7"/>
        <v>-6.5537106582510329</v>
      </c>
      <c r="X50" s="10">
        <f t="shared" si="7"/>
        <v>-6.4669217938151391E-2</v>
      </c>
      <c r="Y50" s="10" t="e">
        <f t="shared" si="7"/>
        <v>#DIV/0!</v>
      </c>
      <c r="Z50" s="10" t="e">
        <f t="shared" si="7"/>
        <v>#DIV/0!</v>
      </c>
      <c r="AA50" s="10" t="e">
        <f t="shared" si="7"/>
        <v>#DIV/0!</v>
      </c>
    </row>
    <row r="51" spans="1:28">
      <c r="A51" s="13">
        <v>2014</v>
      </c>
      <c r="B51" s="52">
        <v>2371</v>
      </c>
      <c r="C51" s="52">
        <v>2879.3</v>
      </c>
      <c r="D51" s="52">
        <v>108.02</v>
      </c>
      <c r="E51" s="52">
        <v>106.699</v>
      </c>
      <c r="F51" s="52">
        <f>$B$46*D51/100</f>
        <v>1708.8763999999999</v>
      </c>
      <c r="G51" s="52">
        <f t="shared" si="1"/>
        <v>2110.933016</v>
      </c>
      <c r="H51" s="52">
        <v>100.169</v>
      </c>
      <c r="I51" s="52">
        <v>97.777000000000001</v>
      </c>
      <c r="J51" s="52"/>
      <c r="K51" s="21"/>
      <c r="L51" s="21"/>
      <c r="M51" s="10"/>
      <c r="N51" s="12"/>
      <c r="O51" s="12"/>
      <c r="P51" s="30" t="e">
        <f t="shared" ref="P51:AA51" si="8">100*((P40/P6)^(1/34)-1)</f>
        <v>#DIV/0!</v>
      </c>
      <c r="Q51" s="30" t="e">
        <f t="shared" si="8"/>
        <v>#DIV/0!</v>
      </c>
      <c r="R51" s="30" t="e">
        <f t="shared" si="8"/>
        <v>#DIV/0!</v>
      </c>
      <c r="S51" s="30" t="e">
        <f t="shared" si="8"/>
        <v>#DIV/0!</v>
      </c>
      <c r="T51" s="30" t="e">
        <f t="shared" si="8"/>
        <v>#DIV/0!</v>
      </c>
      <c r="U51" s="30" t="e">
        <f t="shared" si="8"/>
        <v>#DIV/0!</v>
      </c>
      <c r="V51" s="30" t="e">
        <f t="shared" si="8"/>
        <v>#DIV/0!</v>
      </c>
      <c r="W51" s="30" t="e">
        <f t="shared" si="8"/>
        <v>#DIV/0!</v>
      </c>
      <c r="X51" s="30" t="e">
        <f t="shared" si="8"/>
        <v>#DIV/0!</v>
      </c>
      <c r="Y51" s="30" t="e">
        <f t="shared" si="8"/>
        <v>#DIV/0!</v>
      </c>
      <c r="Z51" s="30" t="e">
        <f t="shared" si="8"/>
        <v>#DIV/0!</v>
      </c>
      <c r="AA51" s="30" t="e">
        <f t="shared" si="8"/>
        <v>#DIV/0!</v>
      </c>
      <c r="AB51" s="30"/>
    </row>
    <row r="52" spans="1:28" ht="15" customHeight="1">
      <c r="A52" s="13">
        <v>2015</v>
      </c>
      <c r="B52" s="52">
        <v>2265</v>
      </c>
      <c r="C52" s="52">
        <v>2786.5</v>
      </c>
      <c r="D52" s="52">
        <v>108.639</v>
      </c>
      <c r="E52" s="52">
        <v>112.52200000000001</v>
      </c>
      <c r="F52" s="52">
        <f>$B$46*D52/100</f>
        <v>1718.6689799999999</v>
      </c>
      <c r="G52" s="52">
        <f t="shared" si="1"/>
        <v>2226.135248</v>
      </c>
      <c r="H52" s="52">
        <v>95.146000000000001</v>
      </c>
      <c r="I52" s="52">
        <v>89.727999999999994</v>
      </c>
      <c r="J52" s="52"/>
      <c r="K52" s="69" t="s">
        <v>140</v>
      </c>
      <c r="L52" s="70"/>
      <c r="M52" s="10"/>
      <c r="N52" s="12"/>
      <c r="O52" s="12"/>
      <c r="P52" s="139"/>
      <c r="Q52" s="139"/>
      <c r="R52" s="139"/>
      <c r="S52" s="139"/>
      <c r="T52" s="139"/>
      <c r="U52" s="139"/>
      <c r="V52" s="139"/>
      <c r="W52" s="139"/>
      <c r="X52" s="139"/>
      <c r="Y52" s="139"/>
      <c r="Z52" s="139"/>
      <c r="AA52" s="139"/>
      <c r="AB52" s="139"/>
    </row>
    <row r="53" spans="1:28" s="42" customFormat="1" ht="15" customHeight="1">
      <c r="A53" s="13">
        <v>2016</v>
      </c>
      <c r="B53" s="52">
        <v>2217.6</v>
      </c>
      <c r="C53" s="52">
        <v>2738.1</v>
      </c>
      <c r="D53" s="52">
        <v>108.527</v>
      </c>
      <c r="E53" s="52">
        <v>114.657</v>
      </c>
      <c r="F53" s="52">
        <f t="shared" ref="F53:F55" si="9">$B$46*D53/100</f>
        <v>1716.89714</v>
      </c>
      <c r="G53" s="52">
        <f t="shared" si="1"/>
        <v>2268.374088</v>
      </c>
      <c r="H53" s="52">
        <v>93.248000000000005</v>
      </c>
      <c r="I53" s="52">
        <v>86.531000000000006</v>
      </c>
      <c r="J53" s="52"/>
      <c r="K53" s="66" t="s">
        <v>200</v>
      </c>
      <c r="L53" s="72">
        <f>100*((L43/L25)^(1/18)-1)</f>
        <v>1.0386281671050934</v>
      </c>
      <c r="M53" s="72">
        <f t="shared" ref="M53:O53" si="10">100*((M43/M25)^(1/18)-1)</f>
        <v>2.7209865725316362</v>
      </c>
      <c r="N53" s="72">
        <f t="shared" si="10"/>
        <v>1.0159588303413347</v>
      </c>
      <c r="O53" s="72">
        <f t="shared" si="10"/>
        <v>0.48010910499081128</v>
      </c>
      <c r="P53" s="171"/>
      <c r="Q53" s="171"/>
      <c r="R53" s="171"/>
      <c r="S53" s="171"/>
      <c r="T53" s="171"/>
      <c r="U53" s="171"/>
      <c r="V53" s="171"/>
      <c r="W53" s="171"/>
      <c r="X53" s="171"/>
      <c r="Y53" s="171"/>
      <c r="Z53" s="171"/>
      <c r="AA53" s="171"/>
      <c r="AB53" s="171"/>
    </row>
    <row r="54" spans="1:28" s="42" customFormat="1" ht="15" customHeight="1">
      <c r="A54" s="13">
        <v>2017</v>
      </c>
      <c r="B54" s="52">
        <v>2350.1999999999998</v>
      </c>
      <c r="C54" s="52">
        <v>2928.6</v>
      </c>
      <c r="D54" s="52">
        <v>111.809</v>
      </c>
      <c r="E54" s="52">
        <v>119.88800000000001</v>
      </c>
      <c r="F54" s="52">
        <f t="shared" si="9"/>
        <v>1768.8183799999999</v>
      </c>
      <c r="G54" s="52">
        <f t="shared" si="1"/>
        <v>2371.8641920000005</v>
      </c>
      <c r="H54" s="52">
        <v>95.923000000000002</v>
      </c>
      <c r="I54" s="52">
        <v>88.510999999999996</v>
      </c>
      <c r="J54" s="52"/>
      <c r="K54" s="148" t="s">
        <v>201</v>
      </c>
      <c r="L54" s="73">
        <f>100*((L43/L33)^(1/10)-1)</f>
        <v>1.7391581866820438</v>
      </c>
      <c r="M54" s="73">
        <f t="shared" ref="M54:O54" si="11">100*((M43/M33)^(1/10)-1)</f>
        <v>2.0855242477673341</v>
      </c>
      <c r="N54" s="73">
        <f t="shared" si="11"/>
        <v>0.44762892742320481</v>
      </c>
      <c r="O54" s="73">
        <f t="shared" si="11"/>
        <v>1.280877179383122</v>
      </c>
      <c r="P54" s="171"/>
      <c r="Q54" s="171"/>
      <c r="R54" s="171"/>
      <c r="S54" s="171"/>
      <c r="T54" s="171"/>
      <c r="U54" s="171"/>
      <c r="V54" s="171"/>
      <c r="W54" s="171"/>
      <c r="X54" s="171"/>
      <c r="Y54" s="171"/>
      <c r="Z54" s="171"/>
      <c r="AA54" s="171"/>
      <c r="AB54" s="171"/>
    </row>
    <row r="55" spans="1:28" s="42" customFormat="1" ht="15" customHeight="1">
      <c r="A55" s="13">
        <v>2018</v>
      </c>
      <c r="B55" s="52">
        <v>2531.3000000000002</v>
      </c>
      <c r="C55" s="52">
        <v>3156.7</v>
      </c>
      <c r="D55" s="52">
        <v>116.22799999999999</v>
      </c>
      <c r="E55" s="52">
        <v>125.33499999999999</v>
      </c>
      <c r="F55" s="52">
        <f t="shared" si="9"/>
        <v>1838.72696</v>
      </c>
      <c r="G55" s="52">
        <f t="shared" si="1"/>
        <v>2479.6276400000002</v>
      </c>
      <c r="H55" s="52">
        <v>99.399000000000001</v>
      </c>
      <c r="I55" s="52">
        <v>91.268000000000001</v>
      </c>
      <c r="J55" s="52"/>
      <c r="K55" s="149" t="s">
        <v>202</v>
      </c>
      <c r="L55" s="74">
        <f>100*((L43/L6)^(1/37)-1)</f>
        <v>4.0584086406179942</v>
      </c>
      <c r="M55" s="74">
        <f t="shared" ref="M55:O55" si="12">100*((M43/M6)^(1/37)-1)</f>
        <v>4.5452420823112405</v>
      </c>
      <c r="N55" s="74">
        <f t="shared" si="12"/>
        <v>1.3927321624481737</v>
      </c>
      <c r="O55" s="74">
        <f t="shared" si="12"/>
        <v>1.1662810397169654</v>
      </c>
      <c r="P55" s="171"/>
      <c r="Q55" s="171"/>
      <c r="R55" s="171"/>
      <c r="S55" s="171"/>
      <c r="T55" s="171"/>
      <c r="U55" s="171"/>
      <c r="V55" s="171"/>
      <c r="W55" s="171"/>
      <c r="X55" s="171"/>
      <c r="Y55" s="171"/>
      <c r="Z55" s="171"/>
      <c r="AA55" s="171"/>
      <c r="AB55" s="171"/>
    </row>
    <row r="56" spans="1:28" ht="15" customHeight="1">
      <c r="G56" s="42"/>
      <c r="J56" s="52"/>
      <c r="K56" s="2"/>
      <c r="L56" s="42"/>
      <c r="M56" s="42"/>
      <c r="N56" s="42"/>
      <c r="O56" s="42"/>
      <c r="P56" s="139"/>
      <c r="Q56" s="139"/>
      <c r="R56" s="139"/>
      <c r="S56" s="139"/>
      <c r="T56" s="139"/>
      <c r="U56" s="139"/>
      <c r="V56" s="139"/>
      <c r="W56" s="139"/>
      <c r="X56" s="139"/>
      <c r="Y56" s="139"/>
      <c r="Z56" s="139"/>
      <c r="AA56" s="139"/>
      <c r="AB56" s="139"/>
    </row>
    <row r="57" spans="1:28" ht="15" customHeight="1">
      <c r="A57" s="5" t="s">
        <v>139</v>
      </c>
      <c r="B57" s="5"/>
      <c r="C57" s="5"/>
      <c r="D57" s="5"/>
      <c r="E57" s="5"/>
      <c r="F57" s="23"/>
      <c r="G57" s="23"/>
      <c r="H57" s="23"/>
      <c r="I57" s="9"/>
      <c r="J57" s="52"/>
      <c r="K57" s="174" t="s">
        <v>173</v>
      </c>
      <c r="L57" s="174"/>
      <c r="M57" s="174"/>
      <c r="N57" s="174"/>
      <c r="O57" s="174"/>
      <c r="P57" s="174"/>
      <c r="Q57" s="174"/>
      <c r="R57" s="174"/>
      <c r="S57" s="174"/>
      <c r="T57" s="174"/>
      <c r="U57" s="174"/>
      <c r="V57" s="174"/>
      <c r="W57" s="174"/>
      <c r="X57" s="174"/>
      <c r="Y57" s="174"/>
      <c r="Z57" s="174"/>
      <c r="AA57" s="174"/>
      <c r="AB57" s="174"/>
    </row>
    <row r="58" spans="1:28" s="30" customFormat="1">
      <c r="A58" s="132" t="s">
        <v>138</v>
      </c>
      <c r="B58" s="57">
        <f t="shared" ref="B58:I58" si="13">100*((B26/B18)^(1/8)-1)</f>
        <v>6.4787771492047286</v>
      </c>
      <c r="C58" s="57">
        <f t="shared" si="13"/>
        <v>8.0635420471209187</v>
      </c>
      <c r="D58" s="57">
        <f t="shared" si="13"/>
        <v>5.6907029962838918</v>
      </c>
      <c r="E58" s="57">
        <f t="shared" si="13"/>
        <v>7.896282377030972</v>
      </c>
      <c r="F58" s="57">
        <f t="shared" si="13"/>
        <v>5.6907029962838918</v>
      </c>
      <c r="G58" s="57">
        <f t="shared" si="13"/>
        <v>7.896282377030972</v>
      </c>
      <c r="H58" s="57">
        <f t="shared" si="13"/>
        <v>0.74390368585237621</v>
      </c>
      <c r="I58" s="58">
        <f t="shared" si="13"/>
        <v>0.15656840455473553</v>
      </c>
      <c r="J58" s="52"/>
      <c r="K58" s="174"/>
      <c r="L58" s="174"/>
      <c r="M58" s="174"/>
      <c r="N58" s="174"/>
      <c r="O58" s="174"/>
      <c r="P58" s="174"/>
      <c r="Q58" s="174"/>
      <c r="R58" s="174"/>
      <c r="S58" s="174"/>
      <c r="T58" s="174"/>
      <c r="U58" s="174"/>
      <c r="V58" s="174"/>
      <c r="W58" s="174"/>
      <c r="X58" s="174"/>
      <c r="Y58" s="174"/>
      <c r="Z58" s="174"/>
      <c r="AA58" s="174"/>
      <c r="AB58" s="174"/>
    </row>
    <row r="59" spans="1:28" s="42" customFormat="1">
      <c r="A59" s="133" t="s">
        <v>27</v>
      </c>
      <c r="B59" s="10">
        <f t="shared" ref="B59:I59" si="14">100*((B37/B26)^(1/11)-1)</f>
        <v>7.314454512382107</v>
      </c>
      <c r="C59" s="10">
        <f t="shared" si="14"/>
        <v>8.6451493543586508</v>
      </c>
      <c r="D59" s="10">
        <f t="shared" si="14"/>
        <v>7.2824923450013124</v>
      </c>
      <c r="E59" s="10">
        <f t="shared" si="14"/>
        <v>8.7482805261633203</v>
      </c>
      <c r="F59" s="10">
        <f t="shared" si="14"/>
        <v>7.2824923450013124</v>
      </c>
      <c r="G59" s="10">
        <f t="shared" si="14"/>
        <v>8.7482805261633203</v>
      </c>
      <c r="H59" s="10">
        <f t="shared" si="14"/>
        <v>2.945240608762667E-2</v>
      </c>
      <c r="I59" s="11">
        <f t="shared" si="14"/>
        <v>-9.5227777954631776E-2</v>
      </c>
      <c r="J59" s="52"/>
      <c r="K59" s="174"/>
      <c r="L59" s="174"/>
      <c r="M59" s="174"/>
      <c r="N59" s="174"/>
      <c r="O59" s="174"/>
      <c r="P59" s="174"/>
      <c r="Q59" s="174"/>
      <c r="R59" s="174"/>
      <c r="S59" s="174"/>
      <c r="T59" s="174"/>
      <c r="U59" s="174"/>
      <c r="V59" s="174"/>
      <c r="W59" s="174"/>
      <c r="X59" s="174"/>
      <c r="Y59" s="174"/>
      <c r="Z59" s="174"/>
      <c r="AA59" s="174"/>
      <c r="AB59" s="174"/>
    </row>
    <row r="60" spans="1:28" s="42" customFormat="1">
      <c r="A60" s="133" t="s">
        <v>28</v>
      </c>
      <c r="B60" s="10">
        <f t="shared" ref="B60:I60" si="15">100*((B45/B37)^(1/8)-1)</f>
        <v>6.6658559835317099</v>
      </c>
      <c r="C60" s="10">
        <f t="shared" si="15"/>
        <v>7.1690699641851596</v>
      </c>
      <c r="D60" s="10">
        <f t="shared" si="15"/>
        <v>4.2559683511981694</v>
      </c>
      <c r="E60" s="10">
        <f t="shared" si="15"/>
        <v>3.7284249992640905</v>
      </c>
      <c r="F60" s="10">
        <f t="shared" si="15"/>
        <v>4.2559683511981694</v>
      </c>
      <c r="G60" s="10">
        <f t="shared" si="15"/>
        <v>3.7284249992641127</v>
      </c>
      <c r="H60" s="10">
        <f t="shared" si="15"/>
        <v>2.3118375347499942</v>
      </c>
      <c r="I60" s="11">
        <f t="shared" si="15"/>
        <v>3.3173195897015839</v>
      </c>
      <c r="J60" s="52"/>
      <c r="K60" s="139"/>
      <c r="L60" s="139"/>
      <c r="M60" s="139"/>
      <c r="N60" s="139"/>
      <c r="O60" s="139"/>
      <c r="P60" s="139"/>
      <c r="Q60" s="139"/>
      <c r="R60" s="139"/>
      <c r="S60" s="139"/>
      <c r="T60" s="139"/>
      <c r="U60" s="139"/>
      <c r="V60" s="139"/>
      <c r="W60" s="139"/>
      <c r="X60" s="139"/>
      <c r="Y60" s="139"/>
      <c r="Z60" s="139"/>
      <c r="AA60" s="139"/>
      <c r="AB60" s="139"/>
    </row>
    <row r="61" spans="1:28" s="42" customFormat="1">
      <c r="A61" s="134" t="s">
        <v>153</v>
      </c>
      <c r="B61" s="59">
        <f t="shared" ref="B61:I61" si="16">100*((B45/B18)^(1/27)-1)</f>
        <v>6.874023114105432</v>
      </c>
      <c r="C61" s="59">
        <f t="shared" si="16"/>
        <v>8.0337302038870249</v>
      </c>
      <c r="D61" s="59">
        <f t="shared" si="16"/>
        <v>5.9065765714997331</v>
      </c>
      <c r="E61" s="59">
        <f t="shared" si="16"/>
        <v>6.9864821492346074</v>
      </c>
      <c r="F61" s="59">
        <f t="shared" si="16"/>
        <v>5.9065765714997331</v>
      </c>
      <c r="G61" s="59">
        <f t="shared" si="16"/>
        <v>6.9864821492346074</v>
      </c>
      <c r="H61" s="59">
        <f t="shared" si="16"/>
        <v>0.91293043005467034</v>
      </c>
      <c r="I61" s="60">
        <f t="shared" si="16"/>
        <v>0.9792612579020199</v>
      </c>
      <c r="J61" s="52"/>
      <c r="K61" s="139"/>
      <c r="L61" s="139"/>
      <c r="M61" s="139"/>
      <c r="N61" s="139"/>
      <c r="O61" s="139"/>
      <c r="P61" s="110"/>
      <c r="Q61" s="110"/>
      <c r="R61" s="110"/>
      <c r="S61" s="110"/>
      <c r="T61" s="110"/>
      <c r="U61" s="110"/>
      <c r="V61" s="110"/>
      <c r="W61" s="110"/>
      <c r="X61" s="110"/>
      <c r="Y61" s="110"/>
      <c r="Z61" s="110"/>
      <c r="AA61" s="110"/>
      <c r="AB61" s="110"/>
    </row>
    <row r="62" spans="1:28" s="42" customFormat="1">
      <c r="A62" s="128"/>
      <c r="B62" s="10"/>
      <c r="C62" s="10"/>
      <c r="D62" s="10"/>
      <c r="E62" s="10"/>
      <c r="F62" s="10"/>
      <c r="G62" s="10"/>
      <c r="H62" s="10"/>
      <c r="I62" s="10"/>
      <c r="J62" s="52"/>
      <c r="K62" s="15"/>
      <c r="N62" s="15"/>
      <c r="O62" s="15"/>
      <c r="P62" s="124"/>
      <c r="Q62" s="124"/>
      <c r="R62" s="124"/>
      <c r="S62" s="124"/>
      <c r="T62" s="124"/>
      <c r="U62" s="124"/>
      <c r="V62" s="124"/>
      <c r="W62" s="124"/>
      <c r="X62" s="124"/>
      <c r="Y62" s="124"/>
      <c r="Z62" s="124"/>
      <c r="AA62" s="124"/>
      <c r="AB62" s="124"/>
    </row>
    <row r="63" spans="1:28" s="42" customFormat="1" ht="15" customHeight="1">
      <c r="A63" s="69" t="s">
        <v>140</v>
      </c>
      <c r="B63" s="70"/>
      <c r="C63" s="10"/>
      <c r="D63" s="12"/>
      <c r="E63" s="12"/>
      <c r="F63" s="12"/>
      <c r="G63" s="12"/>
      <c r="H63" s="12"/>
      <c r="I63" s="10"/>
      <c r="J63" s="52"/>
      <c r="P63" s="110"/>
      <c r="Q63" s="110"/>
      <c r="R63" s="110"/>
      <c r="S63" s="110"/>
      <c r="T63" s="110"/>
      <c r="U63" s="110"/>
      <c r="V63" s="110"/>
      <c r="W63" s="110"/>
      <c r="X63" s="110"/>
      <c r="Y63" s="110"/>
      <c r="Z63" s="110"/>
      <c r="AA63" s="110"/>
      <c r="AB63" s="110"/>
    </row>
    <row r="64" spans="1:28">
      <c r="A64" s="66" t="s">
        <v>200</v>
      </c>
      <c r="B64" s="57">
        <f>((B55/B37)^(1/18)-1)*100</f>
        <v>4.7585981188595028</v>
      </c>
      <c r="C64" s="57">
        <f t="shared" ref="C64:I64" si="17">((C55/C37)^(1/18)-1)*100</f>
        <v>4.3322200359682705</v>
      </c>
      <c r="D64" s="57">
        <f t="shared" si="17"/>
        <v>3.4650677311876876</v>
      </c>
      <c r="E64" s="57">
        <f t="shared" si="17"/>
        <v>3.2937700665322422</v>
      </c>
      <c r="F64" s="57">
        <f t="shared" si="17"/>
        <v>3.4650677311876876</v>
      </c>
      <c r="G64" s="57">
        <f t="shared" si="17"/>
        <v>3.2937700665322422</v>
      </c>
      <c r="H64" s="57">
        <f t="shared" si="17"/>
        <v>1.2510960491668222</v>
      </c>
      <c r="I64" s="57">
        <f t="shared" si="17"/>
        <v>1.0059325924353324</v>
      </c>
      <c r="L64" s="42"/>
      <c r="M64" s="42"/>
      <c r="P64" s="10" t="e">
        <f>100*((P45/P34)^(1/11)-1)</f>
        <v>#DIV/0!</v>
      </c>
      <c r="Q64" s="42"/>
      <c r="R64" s="42"/>
      <c r="S64" s="42"/>
      <c r="T64" s="42"/>
      <c r="U64" s="42"/>
      <c r="V64" s="42"/>
      <c r="W64" s="42"/>
      <c r="X64" s="42"/>
      <c r="Y64" s="42"/>
      <c r="Z64" s="42"/>
      <c r="AA64" s="42"/>
      <c r="AB64" s="42"/>
    </row>
    <row r="65" spans="1:28" ht="15" customHeight="1">
      <c r="A65" s="88" t="s">
        <v>201</v>
      </c>
      <c r="B65" s="10">
        <f>((B55/B45)^(1/10)-1)*100</f>
        <v>3.2573754615138339</v>
      </c>
      <c r="C65" s="10">
        <f t="shared" ref="C65:I65" si="18">((C55/C45)^(1/10)-1)*100</f>
        <v>2.1169037078382358</v>
      </c>
      <c r="D65" s="10">
        <f t="shared" si="18"/>
        <v>2.836669341928455</v>
      </c>
      <c r="E65" s="10">
        <f t="shared" si="18"/>
        <v>2.9473578532001277</v>
      </c>
      <c r="F65" s="10">
        <f t="shared" si="18"/>
        <v>2.836669341928455</v>
      </c>
      <c r="G65" s="10">
        <f t="shared" si="18"/>
        <v>2.9473578532001277</v>
      </c>
      <c r="H65" s="10">
        <f t="shared" si="18"/>
        <v>0.41042653709812971</v>
      </c>
      <c r="I65" s="10">
        <f t="shared" si="18"/>
        <v>-0.80589010118409243</v>
      </c>
      <c r="J65" s="10"/>
      <c r="L65" s="42"/>
      <c r="M65" s="42"/>
      <c r="P65" s="59" t="e">
        <f>100*((P49/P45)^(1/8)-1)</f>
        <v>#DIV/0!</v>
      </c>
      <c r="Q65" s="42"/>
      <c r="R65" s="42"/>
      <c r="S65" s="42"/>
      <c r="T65" s="42"/>
      <c r="U65" s="42"/>
      <c r="V65" s="42"/>
      <c r="W65" s="42"/>
      <c r="X65" s="42"/>
      <c r="Y65" s="42"/>
      <c r="Z65" s="42"/>
      <c r="AA65" s="42"/>
      <c r="AB65" s="42"/>
    </row>
    <row r="66" spans="1:28" s="42" customFormat="1">
      <c r="A66" s="68" t="s">
        <v>202</v>
      </c>
      <c r="B66" s="59">
        <f>100*((B55/B18)^(1/37)-1)</f>
        <v>5.8842407323516976</v>
      </c>
      <c r="C66" s="59">
        <f t="shared" ref="C66:I66" si="19">100*((C55/C18)^(1/37)-1)</f>
        <v>6.4015837585213786</v>
      </c>
      <c r="D66" s="59">
        <f t="shared" si="19"/>
        <v>5.0679470699940277</v>
      </c>
      <c r="E66" s="59">
        <f t="shared" si="19"/>
        <v>5.8794534145266475</v>
      </c>
      <c r="F66" s="59">
        <f t="shared" si="19"/>
        <v>5.0679470699940277</v>
      </c>
      <c r="G66" s="59">
        <f t="shared" si="19"/>
        <v>5.8794534145266475</v>
      </c>
      <c r="H66" s="59">
        <f t="shared" si="19"/>
        <v>0.77687110326665199</v>
      </c>
      <c r="I66" s="59">
        <f t="shared" si="19"/>
        <v>0.49364374685048062</v>
      </c>
      <c r="J66" s="10"/>
      <c r="K66" s="15"/>
      <c r="N66" s="15"/>
      <c r="O66" s="15"/>
      <c r="P66" s="12"/>
    </row>
    <row r="67" spans="1:28" s="42" customFormat="1" ht="15" customHeight="1">
      <c r="A67" s="2"/>
      <c r="B67" s="2"/>
      <c r="C67" s="2"/>
      <c r="D67" s="2"/>
      <c r="E67" s="2"/>
      <c r="F67" s="15"/>
      <c r="G67" s="15"/>
      <c r="H67" s="15"/>
      <c r="I67" s="15"/>
      <c r="J67" s="10"/>
      <c r="K67" s="15"/>
      <c r="N67" s="15"/>
      <c r="O67" s="15"/>
      <c r="P67" s="12"/>
    </row>
    <row r="68" spans="1:28" s="42" customFormat="1" ht="15" customHeight="1">
      <c r="A68" s="180" t="s">
        <v>172</v>
      </c>
      <c r="B68" s="180"/>
      <c r="C68" s="180"/>
      <c r="D68" s="180"/>
      <c r="E68" s="180"/>
      <c r="F68" s="180"/>
      <c r="G68" s="180"/>
      <c r="H68" s="180"/>
      <c r="I68" s="180"/>
      <c r="J68" s="180"/>
      <c r="K68" s="15"/>
      <c r="N68" s="15"/>
      <c r="O68" s="15"/>
      <c r="P68" s="57" t="e">
        <f>110*((P56/P12)^(1/44)-1)</f>
        <v>#DIV/0!</v>
      </c>
    </row>
    <row r="69" spans="1:28" s="42" customFormat="1">
      <c r="A69" s="180"/>
      <c r="B69" s="180"/>
      <c r="C69" s="180"/>
      <c r="D69" s="180"/>
      <c r="E69" s="180"/>
      <c r="F69" s="180"/>
      <c r="G69" s="180"/>
      <c r="H69" s="180"/>
      <c r="I69" s="180"/>
      <c r="J69" s="180"/>
      <c r="K69" s="15"/>
      <c r="N69" s="15"/>
      <c r="O69" s="15"/>
      <c r="P69" s="10" t="e">
        <f>100*((P18/P12)^(1/6)-1)</f>
        <v>#DIV/0!</v>
      </c>
    </row>
    <row r="70" spans="1:28" s="42" customFormat="1">
      <c r="A70" s="180"/>
      <c r="B70" s="180"/>
      <c r="C70" s="180"/>
      <c r="D70" s="180"/>
      <c r="E70" s="180"/>
      <c r="F70" s="180"/>
      <c r="G70" s="180"/>
      <c r="H70" s="180"/>
      <c r="I70" s="180"/>
      <c r="J70" s="180"/>
      <c r="K70" s="15"/>
      <c r="N70" s="15"/>
      <c r="O70" s="15"/>
      <c r="P70" s="10" t="e">
        <f>((P56/P18)^(1/38)-1)*100</f>
        <v>#DIV/0!</v>
      </c>
    </row>
    <row r="71" spans="1:28" s="42" customFormat="1">
      <c r="A71" s="63"/>
      <c r="B71" s="63"/>
      <c r="C71" s="63"/>
      <c r="D71" s="63"/>
      <c r="E71" s="63"/>
      <c r="F71" s="63"/>
      <c r="G71" s="63"/>
      <c r="H71" s="63"/>
      <c r="I71" s="63"/>
      <c r="J71" s="10"/>
      <c r="K71" s="15"/>
      <c r="N71" s="15"/>
      <c r="O71" s="15"/>
      <c r="P71" s="10" t="e">
        <f>((P45/P12)^(1/33)-1)*100</f>
        <v>#DIV/0!</v>
      </c>
    </row>
    <row r="72" spans="1:28" s="42" customFormat="1">
      <c r="A72" s="63"/>
      <c r="B72" s="63"/>
      <c r="C72" s="63"/>
      <c r="D72" s="63"/>
      <c r="E72" s="63"/>
      <c r="F72" s="63"/>
      <c r="G72" s="63"/>
      <c r="H72" s="63"/>
      <c r="I72" s="63"/>
      <c r="J72" s="10"/>
      <c r="K72" s="15"/>
      <c r="N72" s="15"/>
      <c r="O72" s="15"/>
      <c r="P72" s="10" t="e">
        <f>((P56/P45)^(1/11)-1)*100</f>
        <v>#DIV/0!</v>
      </c>
    </row>
    <row r="73" spans="1:28" s="42" customFormat="1">
      <c r="A73" s="63"/>
      <c r="B73" s="63"/>
      <c r="C73" s="63"/>
      <c r="D73" s="63"/>
      <c r="E73" s="63"/>
      <c r="F73" s="63"/>
      <c r="G73" s="63"/>
      <c r="H73" s="63"/>
      <c r="I73" s="63"/>
      <c r="J73" s="10"/>
      <c r="K73" s="15"/>
      <c r="N73" s="15"/>
      <c r="O73" s="15"/>
      <c r="P73" s="59" t="e">
        <f>((P56/P49)^(1/3)-1)*100</f>
        <v>#DIV/0!</v>
      </c>
    </row>
    <row r="74" spans="1:28" s="42" customFormat="1">
      <c r="A74" s="63"/>
      <c r="B74" s="63"/>
      <c r="C74" s="63"/>
      <c r="D74" s="63"/>
      <c r="E74" s="63"/>
      <c r="F74" s="63"/>
      <c r="G74" s="63"/>
      <c r="H74" s="63"/>
      <c r="I74" s="63"/>
      <c r="J74" s="10"/>
      <c r="K74" s="15"/>
      <c r="N74" s="15"/>
      <c r="O74" s="15"/>
    </row>
    <row r="75" spans="1:28" s="42" customFormat="1" ht="15" customHeight="1">
      <c r="A75" s="15"/>
      <c r="B75" s="15"/>
      <c r="C75" s="15"/>
      <c r="D75" s="15"/>
      <c r="E75" s="15"/>
      <c r="F75" s="15"/>
      <c r="G75" s="15"/>
      <c r="H75" s="15"/>
      <c r="I75" s="15"/>
      <c r="J75" s="10"/>
      <c r="K75" s="15"/>
      <c r="N75" s="15"/>
      <c r="O75" s="15"/>
      <c r="P75" s="15"/>
      <c r="Q75" s="15"/>
      <c r="R75" s="15"/>
      <c r="S75" s="15"/>
      <c r="T75" s="15"/>
      <c r="U75" s="15"/>
      <c r="V75" s="15"/>
      <c r="W75" s="15"/>
      <c r="X75" s="15"/>
      <c r="Y75" s="15"/>
      <c r="Z75" s="15"/>
      <c r="AA75" s="15"/>
      <c r="AB75" s="15"/>
    </row>
    <row r="76" spans="1:28" s="42" customFormat="1" hidden="1">
      <c r="A76" s="15"/>
      <c r="B76" s="15"/>
      <c r="C76" s="15"/>
      <c r="D76" s="15"/>
      <c r="E76" s="15"/>
      <c r="F76" s="15"/>
      <c r="G76" s="15"/>
      <c r="H76" s="15"/>
      <c r="I76" s="15"/>
      <c r="J76" s="10"/>
      <c r="K76" s="15"/>
      <c r="N76" s="15"/>
      <c r="O76" s="15"/>
      <c r="P76" s="31"/>
      <c r="Q76" s="31"/>
      <c r="R76" s="31"/>
      <c r="S76" s="31"/>
      <c r="T76" s="31"/>
      <c r="U76" s="31"/>
      <c r="V76" s="31"/>
      <c r="W76" s="31"/>
      <c r="X76" s="31"/>
      <c r="Y76" s="31"/>
      <c r="Z76" s="31"/>
      <c r="AA76" s="31"/>
      <c r="AB76" s="31"/>
    </row>
    <row r="77" spans="1:28" s="42" customFormat="1">
      <c r="J77" s="10"/>
      <c r="K77" s="15"/>
      <c r="N77" s="15"/>
      <c r="O77" s="15"/>
      <c r="P77" s="31"/>
      <c r="Q77" s="31"/>
      <c r="R77" s="31"/>
      <c r="S77" s="31"/>
      <c r="T77" s="31"/>
      <c r="U77" s="31"/>
      <c r="V77" s="31"/>
      <c r="W77" s="31"/>
      <c r="X77" s="31"/>
      <c r="Y77" s="31"/>
      <c r="Z77" s="31"/>
      <c r="AA77" s="31"/>
      <c r="AB77" s="31"/>
    </row>
    <row r="78" spans="1:28" s="42" customFormat="1" ht="15" hidden="1" customHeight="1">
      <c r="A78" s="15"/>
      <c r="B78" s="15"/>
      <c r="C78" s="15"/>
      <c r="D78" s="15"/>
      <c r="E78" s="15"/>
      <c r="F78" s="15"/>
      <c r="G78" s="15"/>
      <c r="H78" s="15"/>
      <c r="I78" s="15"/>
      <c r="J78" s="10"/>
      <c r="K78" s="15"/>
      <c r="N78" s="15"/>
      <c r="O78" s="15"/>
      <c r="P78" s="15"/>
      <c r="Q78" s="15"/>
      <c r="R78" s="15"/>
      <c r="S78" s="15"/>
      <c r="T78" s="15"/>
      <c r="U78" s="15"/>
      <c r="V78" s="15"/>
      <c r="W78" s="15"/>
      <c r="X78" s="15"/>
      <c r="Y78" s="15"/>
      <c r="Z78" s="15"/>
      <c r="AA78" s="15"/>
      <c r="AB78" s="15"/>
    </row>
    <row r="79" spans="1:28" ht="15" hidden="1" customHeight="1">
      <c r="J79" s="10"/>
      <c r="L79" s="42"/>
      <c r="M79" s="42"/>
    </row>
    <row r="80" spans="1:28" s="31" customFormat="1" ht="15" hidden="1" customHeight="1">
      <c r="A80" s="15"/>
      <c r="B80" s="15"/>
      <c r="C80" s="15"/>
      <c r="D80" s="15"/>
      <c r="E80" s="15"/>
      <c r="F80" s="15"/>
      <c r="G80" s="15"/>
      <c r="H80" s="15"/>
      <c r="I80" s="15"/>
      <c r="J80" s="10"/>
      <c r="K80" s="15"/>
      <c r="L80" s="42"/>
      <c r="M80" s="42"/>
      <c r="N80" s="15"/>
      <c r="O80" s="15"/>
      <c r="P80" s="15"/>
      <c r="Q80" s="15"/>
      <c r="R80" s="15"/>
      <c r="S80" s="15"/>
      <c r="T80" s="15"/>
      <c r="U80" s="15"/>
      <c r="V80" s="15"/>
      <c r="W80" s="15"/>
      <c r="X80" s="15"/>
      <c r="Y80" s="15"/>
      <c r="Z80" s="15"/>
      <c r="AA80" s="15"/>
      <c r="AB80" s="15"/>
    </row>
    <row r="81" spans="1:44" s="31" customFormat="1" ht="15" hidden="1" customHeight="1">
      <c r="A81" s="15"/>
      <c r="B81" s="15"/>
      <c r="C81" s="15"/>
      <c r="D81" s="15"/>
      <c r="E81" s="15"/>
      <c r="F81" s="15"/>
      <c r="G81" s="15"/>
      <c r="H81" s="15"/>
      <c r="I81" s="15"/>
      <c r="J81" s="10"/>
      <c r="K81" s="15"/>
      <c r="L81" s="42"/>
      <c r="M81" s="42"/>
      <c r="N81" s="15"/>
      <c r="O81" s="15"/>
      <c r="P81" s="42"/>
      <c r="Q81" s="42"/>
      <c r="R81" s="42"/>
      <c r="S81" s="42"/>
      <c r="T81" s="42"/>
      <c r="U81" s="42"/>
      <c r="V81" s="42"/>
      <c r="W81" s="42"/>
      <c r="X81" s="42"/>
      <c r="Y81" s="42"/>
      <c r="Z81" s="42"/>
      <c r="AA81" s="42"/>
      <c r="AB81" s="42"/>
    </row>
    <row r="82" spans="1:44">
      <c r="L82" s="42"/>
      <c r="M82" s="42"/>
    </row>
    <row r="83" spans="1:44" ht="62.25" customHeight="1">
      <c r="J83" s="78"/>
      <c r="L83" s="42"/>
      <c r="M83" s="42"/>
    </row>
    <row r="84" spans="1:44">
      <c r="L84" s="42"/>
      <c r="M84" s="42"/>
    </row>
    <row r="85" spans="1:44">
      <c r="L85" s="42"/>
      <c r="M85" s="42"/>
      <c r="AC85" s="22"/>
      <c r="AD85" s="22"/>
      <c r="AE85" s="22"/>
      <c r="AF85" s="22"/>
      <c r="AG85" s="22"/>
      <c r="AH85" s="22"/>
      <c r="AI85" s="22"/>
      <c r="AJ85" s="22"/>
      <c r="AK85" s="22"/>
      <c r="AL85" s="22"/>
      <c r="AM85" s="22"/>
      <c r="AN85" s="22"/>
      <c r="AO85" s="22"/>
      <c r="AP85" s="22"/>
      <c r="AQ85" s="22"/>
      <c r="AR85" s="22"/>
    </row>
    <row r="86" spans="1:44">
      <c r="L86" s="42"/>
      <c r="M86" s="42"/>
    </row>
    <row r="87" spans="1:44">
      <c r="L87" s="42"/>
      <c r="M87" s="42"/>
    </row>
    <row r="88" spans="1:44">
      <c r="L88" s="42"/>
      <c r="M88" s="42"/>
    </row>
    <row r="89" spans="1:44">
      <c r="L89" s="42"/>
      <c r="M89" s="42"/>
    </row>
    <row r="90" spans="1:44">
      <c r="L90" s="42"/>
      <c r="M90" s="42"/>
    </row>
    <row r="91" spans="1:44">
      <c r="L91" s="42"/>
      <c r="M91" s="42"/>
    </row>
    <row r="92" spans="1:44">
      <c r="L92" s="42"/>
      <c r="M92" s="42"/>
    </row>
    <row r="93" spans="1:44">
      <c r="L93" s="42"/>
      <c r="M93" s="42"/>
    </row>
    <row r="94" spans="1:44">
      <c r="L94" s="42"/>
      <c r="M94" s="42"/>
    </row>
    <row r="95" spans="1:44">
      <c r="L95" s="42"/>
      <c r="M95" s="42"/>
    </row>
    <row r="96" spans="1:44">
      <c r="L96" s="42"/>
      <c r="M96" s="42"/>
    </row>
    <row r="97" spans="12:13">
      <c r="L97" s="42"/>
      <c r="M97" s="42"/>
    </row>
    <row r="98" spans="12:13">
      <c r="L98" s="42"/>
      <c r="M98" s="42"/>
    </row>
    <row r="99" spans="12:13">
      <c r="L99" s="42"/>
      <c r="M99" s="42"/>
    </row>
    <row r="100" spans="12:13">
      <c r="L100" s="42"/>
      <c r="M100" s="42"/>
    </row>
    <row r="101" spans="12:13">
      <c r="L101" s="42"/>
      <c r="M101" s="42"/>
    </row>
    <row r="102" spans="12:13">
      <c r="L102" s="42"/>
      <c r="M102" s="42"/>
    </row>
    <row r="103" spans="12:13">
      <c r="L103" s="42"/>
      <c r="M103" s="42"/>
    </row>
    <row r="104" spans="12:13">
      <c r="L104" s="42"/>
      <c r="M104" s="42"/>
    </row>
    <row r="105" spans="12:13">
      <c r="L105" s="42"/>
      <c r="M105" s="42"/>
    </row>
  </sheetData>
  <mergeCells count="4">
    <mergeCell ref="A1:I1"/>
    <mergeCell ref="K1:O1"/>
    <mergeCell ref="K57:AB59"/>
    <mergeCell ref="A68:J70"/>
  </mergeCells>
  <pageMargins left="0.70866141732283472" right="0.70866141732283472" top="0.74803149606299213" bottom="0.74803149606299213" header="0.31496062992125984" footer="0.31496062992125984"/>
  <pageSetup scale="59" orientation="portrait" r:id="rId1"/>
  <colBreaks count="1" manualBreakCount="1">
    <brk id="10" max="68" man="1"/>
  </colBreaks>
</worksheet>
</file>

<file path=xl/worksheets/sheet6.xml><?xml version="1.0" encoding="utf-8"?>
<worksheet xmlns="http://schemas.openxmlformats.org/spreadsheetml/2006/main" xmlns:r="http://schemas.openxmlformats.org/officeDocument/2006/relationships">
  <sheetPr codeName="Sheet8"/>
  <dimension ref="A1:AO121"/>
  <sheetViews>
    <sheetView view="pageBreakPreview" topLeftCell="A13" zoomScale="90" zoomScaleSheetLayoutView="90" workbookViewId="0">
      <selection activeCell="I51" sqref="I51"/>
    </sheetView>
  </sheetViews>
  <sheetFormatPr defaultRowHeight="15"/>
  <cols>
    <col min="1" max="1" width="18" style="15" customWidth="1"/>
    <col min="2" max="9" width="14.28515625" style="23" customWidth="1"/>
    <col min="10" max="10" width="12.28515625" style="65" customWidth="1"/>
    <col min="11" max="11" width="9.140625" style="15"/>
    <col min="12" max="19" width="14.28515625" style="23" customWidth="1"/>
    <col min="20" max="20" width="0" style="15" hidden="1" customWidth="1"/>
    <col min="21" max="21" width="10.140625" style="15" hidden="1" customWidth="1"/>
    <col min="22" max="23" width="0" style="15" hidden="1" customWidth="1"/>
    <col min="24" max="24" width="11.42578125" style="15" hidden="1" customWidth="1"/>
    <col min="25" max="30" width="0" style="15" hidden="1" customWidth="1"/>
    <col min="31" max="16384" width="9.140625" style="15"/>
  </cols>
  <sheetData>
    <row r="1" spans="1:33" ht="15" customHeight="1">
      <c r="A1" s="199" t="s">
        <v>219</v>
      </c>
      <c r="B1" s="199"/>
      <c r="C1" s="199"/>
      <c r="D1" s="199"/>
      <c r="E1" s="199"/>
      <c r="F1" s="199"/>
      <c r="G1" s="199"/>
      <c r="H1" s="199"/>
      <c r="I1" s="199"/>
      <c r="K1" s="199" t="s">
        <v>220</v>
      </c>
      <c r="L1" s="199"/>
      <c r="M1" s="199"/>
      <c r="N1" s="199"/>
      <c r="O1" s="199"/>
      <c r="P1" s="199"/>
      <c r="Q1" s="199"/>
      <c r="R1" s="199"/>
      <c r="S1" s="199"/>
    </row>
    <row r="2" spans="1:33" ht="30">
      <c r="A2" s="113" t="s">
        <v>39</v>
      </c>
      <c r="B2" s="198" t="s">
        <v>0</v>
      </c>
      <c r="C2" s="198" t="s">
        <v>2</v>
      </c>
      <c r="D2" s="198" t="s">
        <v>6</v>
      </c>
      <c r="E2" s="198" t="s">
        <v>3</v>
      </c>
      <c r="F2" s="198" t="s">
        <v>4</v>
      </c>
      <c r="G2" s="198" t="s">
        <v>5</v>
      </c>
      <c r="H2" s="198" t="s">
        <v>1</v>
      </c>
      <c r="I2" s="198" t="s">
        <v>10</v>
      </c>
      <c r="J2" s="198"/>
      <c r="K2" s="113" t="s">
        <v>39</v>
      </c>
      <c r="L2" s="198" t="s">
        <v>0</v>
      </c>
      <c r="M2" s="198" t="s">
        <v>2</v>
      </c>
      <c r="N2" s="198" t="s">
        <v>6</v>
      </c>
      <c r="O2" s="198" t="s">
        <v>3</v>
      </c>
      <c r="P2" s="198" t="s">
        <v>9</v>
      </c>
      <c r="Q2" s="198" t="s">
        <v>5</v>
      </c>
      <c r="R2" s="198" t="s">
        <v>8</v>
      </c>
      <c r="S2" s="198" t="s">
        <v>7</v>
      </c>
    </row>
    <row r="3" spans="1:33">
      <c r="A3" s="21"/>
      <c r="B3" s="13" t="s">
        <v>17</v>
      </c>
      <c r="C3" s="13" t="s">
        <v>18</v>
      </c>
      <c r="D3" s="13" t="s">
        <v>19</v>
      </c>
      <c r="E3" s="13" t="s">
        <v>20</v>
      </c>
      <c r="F3" s="13" t="s">
        <v>21</v>
      </c>
      <c r="G3" s="13" t="s">
        <v>22</v>
      </c>
      <c r="H3" s="13" t="s">
        <v>23</v>
      </c>
      <c r="I3" s="13" t="s">
        <v>24</v>
      </c>
      <c r="J3" s="13"/>
      <c r="K3" s="21"/>
      <c r="L3" s="13" t="s">
        <v>17</v>
      </c>
      <c r="M3" s="13" t="s">
        <v>18</v>
      </c>
      <c r="N3" s="13" t="s">
        <v>19</v>
      </c>
      <c r="O3" s="13" t="s">
        <v>20</v>
      </c>
      <c r="P3" s="13" t="s">
        <v>21</v>
      </c>
      <c r="Q3" s="13" t="s">
        <v>22</v>
      </c>
      <c r="R3" s="13" t="s">
        <v>23</v>
      </c>
      <c r="S3" s="200" t="s">
        <v>24</v>
      </c>
      <c r="T3" s="18" t="s">
        <v>41</v>
      </c>
      <c r="U3" s="4"/>
      <c r="W3" s="4"/>
    </row>
    <row r="4" spans="1:33">
      <c r="A4" s="13">
        <v>1969</v>
      </c>
      <c r="B4" s="45">
        <v>1017.6</v>
      </c>
      <c r="C4" s="45">
        <v>1016</v>
      </c>
      <c r="D4" s="45">
        <v>1023.7</v>
      </c>
      <c r="E4" s="45">
        <v>1022.1</v>
      </c>
      <c r="F4" s="45">
        <v>892.7</v>
      </c>
      <c r="G4" s="45">
        <v>891.1</v>
      </c>
      <c r="H4" s="45">
        <v>898.8</v>
      </c>
      <c r="I4" s="45">
        <f>E4-'2'!B5</f>
        <v>942.4</v>
      </c>
      <c r="J4" s="45"/>
      <c r="K4" s="13">
        <v>1981</v>
      </c>
      <c r="L4" s="45">
        <v>368.35500000000002</v>
      </c>
      <c r="M4" s="45">
        <v>368.35500000000002</v>
      </c>
      <c r="N4" s="45">
        <f>O4-M4+L4</f>
        <v>356.05500000000001</v>
      </c>
      <c r="O4" s="45">
        <v>356.05500000000001</v>
      </c>
      <c r="P4" s="45">
        <f>L4-'2'!$F5</f>
        <v>-57338.644999999997</v>
      </c>
      <c r="Q4" s="45">
        <v>310.64800000000002</v>
      </c>
      <c r="R4" s="45">
        <f>N4-'2'!$F5</f>
        <v>-57350.945</v>
      </c>
      <c r="S4" s="45">
        <v>298.34800000000001</v>
      </c>
      <c r="T4" s="23">
        <v>5.0140000000000002</v>
      </c>
      <c r="V4" s="19" t="e">
        <f>#REF!-#REF!</f>
        <v>#REF!</v>
      </c>
      <c r="W4" s="19" t="e">
        <f>#REF!-#REF!</f>
        <v>#REF!</v>
      </c>
      <c r="X4" s="19" t="e">
        <f>#REF!-#REF!</f>
        <v>#REF!</v>
      </c>
      <c r="Y4" s="19" t="e">
        <f>#REF!-#REF!</f>
        <v>#REF!</v>
      </c>
      <c r="AA4" s="4" t="e">
        <f>#REF!-#REF!</f>
        <v>#REF!</v>
      </c>
      <c r="AB4" s="4" t="e">
        <f>#REF!-#REF!</f>
        <v>#REF!</v>
      </c>
      <c r="AC4" s="4" t="e">
        <f>#REF!-#REF!</f>
        <v>#REF!</v>
      </c>
      <c r="AD4" s="4" t="e">
        <f>#REF!-#REF!</f>
        <v>#REF!</v>
      </c>
    </row>
    <row r="5" spans="1:33">
      <c r="A5" s="13">
        <v>1970</v>
      </c>
      <c r="B5" s="45">
        <v>1073.3</v>
      </c>
      <c r="C5" s="45">
        <v>1068</v>
      </c>
      <c r="D5" s="45">
        <v>1079.7</v>
      </c>
      <c r="E5" s="45">
        <v>1074.4000000000001</v>
      </c>
      <c r="F5" s="45">
        <v>936.5</v>
      </c>
      <c r="G5" s="45">
        <v>931.1</v>
      </c>
      <c r="H5" s="45">
        <v>942.9</v>
      </c>
      <c r="I5" s="45">
        <f>E5-'2'!B6</f>
        <v>988.50000000000011</v>
      </c>
      <c r="J5" s="45"/>
      <c r="K5" s="13">
        <v>1982</v>
      </c>
      <c r="L5" s="45">
        <v>388.17599999999999</v>
      </c>
      <c r="M5" s="45">
        <v>388.17599999999999</v>
      </c>
      <c r="N5" s="45">
        <f t="shared" ref="N5:N41" si="0">O5-M5+L5</f>
        <v>374.76900000000001</v>
      </c>
      <c r="O5" s="45">
        <v>374.76900000000001</v>
      </c>
      <c r="P5" s="45">
        <f>L5-'2'!$F6</f>
        <v>-64385.824000000001</v>
      </c>
      <c r="Q5" s="45">
        <v>323.40200000000004</v>
      </c>
      <c r="R5" s="45">
        <f>N5-'2'!$F6</f>
        <v>-64399.231</v>
      </c>
      <c r="S5" s="45">
        <v>309.995</v>
      </c>
      <c r="T5" s="23">
        <v>5.3650000000000002</v>
      </c>
      <c r="V5" s="19" t="e">
        <f>#REF!-#REF!</f>
        <v>#REF!</v>
      </c>
      <c r="W5" s="19" t="e">
        <f>#REF!-#REF!</f>
        <v>#REF!</v>
      </c>
      <c r="X5" s="19" t="e">
        <f>#REF!-#REF!</f>
        <v>#REF!</v>
      </c>
      <c r="Y5" s="19" t="e">
        <f>#REF!-#REF!</f>
        <v>#REF!</v>
      </c>
      <c r="AA5" s="4" t="e">
        <f>#REF!-#REF!</f>
        <v>#REF!</v>
      </c>
      <c r="AB5" s="4" t="e">
        <f>#REF!-#REF!</f>
        <v>#REF!</v>
      </c>
      <c r="AC5" s="4" t="e">
        <f>#REF!-#REF!</f>
        <v>#REF!</v>
      </c>
      <c r="AD5" s="4" t="e">
        <f>#REF!-#REF!</f>
        <v>#REF!</v>
      </c>
      <c r="AG5" s="42"/>
    </row>
    <row r="6" spans="1:33">
      <c r="A6" s="13">
        <v>1971</v>
      </c>
      <c r="B6" s="45">
        <v>1164.9000000000001</v>
      </c>
      <c r="C6" s="45">
        <v>1155.3</v>
      </c>
      <c r="D6" s="45">
        <v>1172.4000000000001</v>
      </c>
      <c r="E6" s="45">
        <v>1162.9000000000001</v>
      </c>
      <c r="F6" s="45">
        <v>1015.9</v>
      </c>
      <c r="G6" s="45">
        <v>1006.4</v>
      </c>
      <c r="H6" s="45">
        <v>1023.5</v>
      </c>
      <c r="I6" s="45">
        <f>E6-'2'!B7</f>
        <v>1070.6000000000001</v>
      </c>
      <c r="J6" s="45"/>
      <c r="K6" s="13">
        <v>1983</v>
      </c>
      <c r="L6" s="45">
        <v>421.31100000000004</v>
      </c>
      <c r="M6" s="45">
        <v>421.31100000000004</v>
      </c>
      <c r="N6" s="45">
        <f t="shared" si="0"/>
        <v>408.96499999999997</v>
      </c>
      <c r="O6" s="45">
        <v>408.96499999999997</v>
      </c>
      <c r="P6" s="45">
        <f>L6-'2'!$F7</f>
        <v>-67376.688999999998</v>
      </c>
      <c r="Q6" s="45">
        <v>353.51299999999998</v>
      </c>
      <c r="R6" s="45">
        <f>N6-'2'!$F7</f>
        <v>-67389.035000000003</v>
      </c>
      <c r="S6" s="45">
        <v>341.16700000000003</v>
      </c>
      <c r="T6" s="23">
        <v>5.7169999999999996</v>
      </c>
      <c r="V6" s="19" t="e">
        <f>#REF!-#REF!</f>
        <v>#REF!</v>
      </c>
      <c r="W6" s="19" t="e">
        <f>#REF!-#REF!</f>
        <v>#REF!</v>
      </c>
      <c r="X6" s="19" t="e">
        <f>#REF!-#REF!</f>
        <v>#REF!</v>
      </c>
      <c r="Y6" s="19" t="e">
        <f>#REF!-#REF!</f>
        <v>#REF!</v>
      </c>
      <c r="AA6" s="4" t="e">
        <f>#REF!-#REF!</f>
        <v>#REF!</v>
      </c>
      <c r="AB6" s="4" t="e">
        <f>#REF!-#REF!</f>
        <v>#REF!</v>
      </c>
      <c r="AC6" s="4" t="e">
        <f>#REF!-#REF!</f>
        <v>#REF!</v>
      </c>
      <c r="AD6" s="4" t="e">
        <f>#REF!-#REF!</f>
        <v>#REF!</v>
      </c>
      <c r="AG6" s="42"/>
    </row>
    <row r="7" spans="1:33">
      <c r="A7" s="13">
        <v>1972</v>
      </c>
      <c r="B7" s="45">
        <v>1279.0999999999999</v>
      </c>
      <c r="C7" s="45">
        <v>1271.9000000000001</v>
      </c>
      <c r="D7" s="45">
        <v>1287.7</v>
      </c>
      <c r="E7" s="45">
        <v>1280.5</v>
      </c>
      <c r="F7" s="45">
        <v>1118.0999999999999</v>
      </c>
      <c r="G7" s="45">
        <v>1110.9000000000001</v>
      </c>
      <c r="H7" s="45">
        <v>1126.7</v>
      </c>
      <c r="I7" s="45">
        <f>E7-'2'!B8</f>
        <v>1178.2</v>
      </c>
      <c r="J7" s="45"/>
      <c r="K7" s="13">
        <v>1984</v>
      </c>
      <c r="L7" s="45">
        <v>461.98</v>
      </c>
      <c r="M7" s="45">
        <v>461.98</v>
      </c>
      <c r="N7" s="45">
        <f t="shared" si="0"/>
        <v>447.68299999999999</v>
      </c>
      <c r="O7" s="45">
        <v>447.68299999999999</v>
      </c>
      <c r="P7" s="45">
        <f>L7-'2'!$F8</f>
        <v>-71500.02</v>
      </c>
      <c r="Q7" s="45">
        <v>390.01799999999997</v>
      </c>
      <c r="R7" s="45">
        <f>N7-'2'!$F8</f>
        <v>-71514.316999999995</v>
      </c>
      <c r="S7" s="45">
        <v>375.721</v>
      </c>
      <c r="T7" s="23">
        <v>6.1779999999999999</v>
      </c>
      <c r="V7" s="19" t="e">
        <f>#REF!-#REF!</f>
        <v>#REF!</v>
      </c>
      <c r="W7" s="19" t="e">
        <f>#REF!-#REF!</f>
        <v>#REF!</v>
      </c>
      <c r="X7" s="19" t="e">
        <f>#REF!-#REF!</f>
        <v>#REF!</v>
      </c>
      <c r="Y7" s="19" t="e">
        <f>#REF!-#REF!</f>
        <v>#REF!</v>
      </c>
      <c r="AA7" s="4" t="e">
        <f>#REF!-#REF!</f>
        <v>#REF!</v>
      </c>
      <c r="AB7" s="4" t="e">
        <f>#REF!-#REF!</f>
        <v>#REF!</v>
      </c>
      <c r="AC7" s="4" t="e">
        <f>#REF!-#REF!</f>
        <v>#REF!</v>
      </c>
      <c r="AD7" s="4" t="e">
        <f>#REF!-#REF!</f>
        <v>#REF!</v>
      </c>
      <c r="AG7" s="42"/>
    </row>
    <row r="8" spans="1:33" ht="14.25" customHeight="1">
      <c r="A8" s="13">
        <v>1973</v>
      </c>
      <c r="B8" s="45">
        <v>1425.4</v>
      </c>
      <c r="C8" s="45">
        <v>1419.2</v>
      </c>
      <c r="D8" s="45">
        <v>1438</v>
      </c>
      <c r="E8" s="45">
        <v>1431.8</v>
      </c>
      <c r="F8" s="45">
        <v>1246.7</v>
      </c>
      <c r="G8" s="45">
        <v>1240.5</v>
      </c>
      <c r="H8" s="45">
        <v>1259.3</v>
      </c>
      <c r="I8" s="45">
        <f>E8-'2'!B9</f>
        <v>1319.8999999999999</v>
      </c>
      <c r="J8" s="45"/>
      <c r="K8" s="13">
        <v>1985</v>
      </c>
      <c r="L8" s="45">
        <v>500.02000000000004</v>
      </c>
      <c r="M8" s="45">
        <v>500.02000000000004</v>
      </c>
      <c r="N8" s="45">
        <f t="shared" si="0"/>
        <v>484.73799999999994</v>
      </c>
      <c r="O8" s="45">
        <v>484.73799999999994</v>
      </c>
      <c r="P8" s="45">
        <f>L8-'2'!$F9</f>
        <v>-76193.98</v>
      </c>
      <c r="Q8" s="45">
        <v>423.32600000000002</v>
      </c>
      <c r="R8" s="45">
        <f>N8-'2'!$F9</f>
        <v>-76209.262000000002</v>
      </c>
      <c r="S8" s="45">
        <v>408.04399999999998</v>
      </c>
      <c r="T8" s="23">
        <v>6.7350000000000003</v>
      </c>
      <c r="V8" s="19" t="e">
        <f>#REF!-#REF!</f>
        <v>#REF!</v>
      </c>
      <c r="W8" s="19" t="e">
        <f>#REF!-#REF!</f>
        <v>#REF!</v>
      </c>
      <c r="X8" s="19" t="e">
        <f>#REF!-#REF!</f>
        <v>#REF!</v>
      </c>
      <c r="Y8" s="19" t="e">
        <f>#REF!-#REF!</f>
        <v>#REF!</v>
      </c>
      <c r="AA8" s="4" t="e">
        <f>#REF!-#REF!</f>
        <v>#REF!</v>
      </c>
      <c r="AB8" s="4" t="e">
        <f>#REF!-#REF!</f>
        <v>#REF!</v>
      </c>
      <c r="AC8" s="4" t="e">
        <f>#REF!-#REF!</f>
        <v>#REF!</v>
      </c>
      <c r="AD8" s="4" t="e">
        <f>#REF!-#REF!</f>
        <v>#REF!</v>
      </c>
      <c r="AG8" s="42"/>
    </row>
    <row r="9" spans="1:33">
      <c r="A9" s="13">
        <v>1974</v>
      </c>
      <c r="B9" s="45">
        <v>1545.2</v>
      </c>
      <c r="C9" s="45">
        <v>1537.8</v>
      </c>
      <c r="D9" s="45">
        <v>1560.8</v>
      </c>
      <c r="E9" s="45">
        <v>1553.3</v>
      </c>
      <c r="F9" s="45">
        <v>1338.3</v>
      </c>
      <c r="G9" s="45">
        <v>1330.9</v>
      </c>
      <c r="H9" s="45">
        <v>1353.9</v>
      </c>
      <c r="I9" s="45">
        <f>E9-'2'!B10</f>
        <v>1429.3999999999999</v>
      </c>
      <c r="J9" s="45"/>
      <c r="K9" s="13">
        <v>1986</v>
      </c>
      <c r="L9" s="45">
        <v>526.62200000000007</v>
      </c>
      <c r="M9" s="45">
        <v>526.62200000000007</v>
      </c>
      <c r="N9" s="45">
        <f t="shared" si="0"/>
        <v>508.899</v>
      </c>
      <c r="O9" s="45">
        <v>508.899</v>
      </c>
      <c r="P9" s="45">
        <f>L9-'2'!$F10</f>
        <v>-80662.377999999997</v>
      </c>
      <c r="Q9" s="45">
        <v>445.43299999999999</v>
      </c>
      <c r="R9" s="45">
        <f>N9-'2'!$F10</f>
        <v>-80680.100999999995</v>
      </c>
      <c r="S9" s="45">
        <v>427.71000000000004</v>
      </c>
      <c r="T9" s="23">
        <v>7.4260000000000002</v>
      </c>
      <c r="V9" s="19" t="e">
        <f>#REF!-#REF!</f>
        <v>#REF!</v>
      </c>
      <c r="W9" s="19" t="e">
        <f>#REF!-#REF!</f>
        <v>#REF!</v>
      </c>
      <c r="X9" s="19" t="e">
        <f>#REF!-#REF!</f>
        <v>#REF!</v>
      </c>
      <c r="Y9" s="19" t="e">
        <f>#REF!-#REF!</f>
        <v>#REF!</v>
      </c>
      <c r="AA9" s="4" t="e">
        <f>#REF!-#REF!</f>
        <v>#REF!</v>
      </c>
      <c r="AB9" s="4" t="e">
        <f>#REF!-#REF!</f>
        <v>#REF!</v>
      </c>
      <c r="AC9" s="4" t="e">
        <f>#REF!-#REF!</f>
        <v>#REF!</v>
      </c>
      <c r="AD9" s="4" t="e">
        <f>#REF!-#REF!</f>
        <v>#REF!</v>
      </c>
      <c r="AG9" s="42"/>
    </row>
    <row r="10" spans="1:33">
      <c r="A10" s="13">
        <v>1975</v>
      </c>
      <c r="B10" s="45">
        <v>1684.9</v>
      </c>
      <c r="C10" s="45">
        <v>1671.6</v>
      </c>
      <c r="D10" s="45">
        <v>1697.9</v>
      </c>
      <c r="E10" s="45">
        <v>1684.6</v>
      </c>
      <c r="F10" s="45">
        <v>1446.4</v>
      </c>
      <c r="G10" s="45">
        <v>1433</v>
      </c>
      <c r="H10" s="45">
        <v>1459.4</v>
      </c>
      <c r="I10" s="45">
        <f>E10-'2'!B11</f>
        <v>1548.6999999999998</v>
      </c>
      <c r="J10" s="45"/>
      <c r="K10" s="13">
        <v>1987</v>
      </c>
      <c r="L10" s="45">
        <v>574.327</v>
      </c>
      <c r="M10" s="45">
        <v>574.327</v>
      </c>
      <c r="N10" s="45">
        <f t="shared" si="0"/>
        <v>556.62200000000007</v>
      </c>
      <c r="O10" s="45">
        <v>556.62200000000007</v>
      </c>
      <c r="P10" s="45">
        <f>L10-'2'!$F11</f>
        <v>-85256.672999999995</v>
      </c>
      <c r="Q10" s="45">
        <v>488.49600000000004</v>
      </c>
      <c r="R10" s="45">
        <f>N10-'2'!$F11</f>
        <v>-85274.377999999997</v>
      </c>
      <c r="S10" s="45">
        <v>470.791</v>
      </c>
      <c r="T10" s="23">
        <v>8.0760000000000005</v>
      </c>
      <c r="V10" s="19" t="e">
        <f>#REF!-#REF!</f>
        <v>#REF!</v>
      </c>
      <c r="W10" s="19" t="e">
        <f>#REF!-#REF!</f>
        <v>#REF!</v>
      </c>
      <c r="X10" s="19" t="e">
        <f>#REF!-#REF!</f>
        <v>#REF!</v>
      </c>
      <c r="Y10" s="19" t="e">
        <f>#REF!-#REF!</f>
        <v>#REF!</v>
      </c>
      <c r="AA10" s="4" t="e">
        <f>#REF!-#REF!</f>
        <v>#REF!</v>
      </c>
      <c r="AB10" s="4" t="e">
        <f>#REF!-#REF!</f>
        <v>#REF!</v>
      </c>
      <c r="AC10" s="4" t="e">
        <f>#REF!-#REF!</f>
        <v>#REF!</v>
      </c>
      <c r="AD10" s="4" t="e">
        <f>#REF!-#REF!</f>
        <v>#REF!</v>
      </c>
      <c r="AG10" s="42"/>
    </row>
    <row r="11" spans="1:33">
      <c r="A11" s="13">
        <v>1976</v>
      </c>
      <c r="B11" s="45">
        <v>1873.4</v>
      </c>
      <c r="C11" s="45">
        <v>1852.8</v>
      </c>
      <c r="D11" s="45">
        <v>1890.3</v>
      </c>
      <c r="E11" s="45">
        <v>1869.6</v>
      </c>
      <c r="F11" s="45">
        <v>1613.2</v>
      </c>
      <c r="G11" s="45">
        <v>1592.5</v>
      </c>
      <c r="H11" s="45">
        <v>1630</v>
      </c>
      <c r="I11" s="45">
        <f>E11-'2'!B12</f>
        <v>1722.1999999999998</v>
      </c>
      <c r="J11" s="45"/>
      <c r="K11" s="13">
        <v>1988</v>
      </c>
      <c r="L11" s="45">
        <v>626.88499999999999</v>
      </c>
      <c r="M11" s="45">
        <v>626.88499999999999</v>
      </c>
      <c r="N11" s="45">
        <f t="shared" si="0"/>
        <v>606.58999999999992</v>
      </c>
      <c r="O11" s="45">
        <v>606.58999999999992</v>
      </c>
      <c r="P11" s="45">
        <f>L11-'2'!$F12</f>
        <v>-91471.115000000005</v>
      </c>
      <c r="Q11" s="45">
        <v>534.78700000000003</v>
      </c>
      <c r="R11" s="45">
        <f>N11-'2'!$F12</f>
        <v>-91491.41</v>
      </c>
      <c r="S11" s="45">
        <v>514.49199999999996</v>
      </c>
      <c r="T11" s="23">
        <v>8.6790000000000003</v>
      </c>
      <c r="V11" s="19" t="e">
        <f>#REF!-#REF!</f>
        <v>#REF!</v>
      </c>
      <c r="W11" s="19" t="e">
        <f>#REF!-#REF!</f>
        <v>#REF!</v>
      </c>
      <c r="X11" s="19" t="e">
        <f>#REF!-#REF!</f>
        <v>#REF!</v>
      </c>
      <c r="Y11" s="19" t="e">
        <f>#REF!-#REF!</f>
        <v>#REF!</v>
      </c>
      <c r="AA11" s="4" t="e">
        <f>#REF!-#REF!</f>
        <v>#REF!</v>
      </c>
      <c r="AB11" s="4" t="e">
        <f>#REF!-#REF!</f>
        <v>#REF!</v>
      </c>
      <c r="AC11" s="4" t="e">
        <f>#REF!-#REF!</f>
        <v>#REF!</v>
      </c>
      <c r="AD11" s="4" t="e">
        <f>#REF!-#REF!</f>
        <v>#REF!</v>
      </c>
      <c r="AG11" s="42"/>
    </row>
    <row r="12" spans="1:33">
      <c r="A12" s="13">
        <v>1977</v>
      </c>
      <c r="B12" s="45">
        <v>2081.8000000000002</v>
      </c>
      <c r="C12" s="45">
        <v>2062.4</v>
      </c>
      <c r="D12" s="45">
        <v>2102.1</v>
      </c>
      <c r="E12" s="45">
        <v>2082.6999999999998</v>
      </c>
      <c r="F12" s="45">
        <v>1792</v>
      </c>
      <c r="G12" s="45">
        <v>1772.5</v>
      </c>
      <c r="H12" s="45">
        <v>1812.3</v>
      </c>
      <c r="I12" s="45">
        <f>E12-'2'!B13</f>
        <v>1915.6999999999998</v>
      </c>
      <c r="J12" s="45"/>
      <c r="K12" s="13">
        <v>1989</v>
      </c>
      <c r="L12" s="45">
        <v>671.56700000000001</v>
      </c>
      <c r="M12" s="45">
        <v>671.56700000000001</v>
      </c>
      <c r="N12" s="45">
        <f t="shared" si="0"/>
        <v>648.47600000000011</v>
      </c>
      <c r="O12" s="45">
        <v>648.47600000000011</v>
      </c>
      <c r="P12" s="45">
        <f>L12-'2'!$F13</f>
        <v>-99104.433000000005</v>
      </c>
      <c r="Q12" s="45">
        <v>571.79099999999994</v>
      </c>
      <c r="R12" s="45">
        <f>N12-'2'!$F13</f>
        <v>-99127.524000000005</v>
      </c>
      <c r="S12" s="45">
        <v>548.70000000000005</v>
      </c>
      <c r="T12" s="23">
        <v>9.4849999999999994</v>
      </c>
      <c r="V12" s="19">
        <f t="shared" ref="V12:V35" si="1">B4-C4</f>
        <v>1.6000000000000227</v>
      </c>
      <c r="W12" s="19">
        <f t="shared" ref="W12:W35" si="2">D4-E4</f>
        <v>1.6000000000000227</v>
      </c>
      <c r="X12" s="19">
        <f t="shared" ref="X12:X35" si="3">F4-G4</f>
        <v>1.6000000000000227</v>
      </c>
      <c r="Y12" s="19">
        <f t="shared" ref="Y12:Y35" si="4">H4-I4</f>
        <v>-43.600000000000023</v>
      </c>
      <c r="AA12" s="4" t="e">
        <f>#REF!-#REF!</f>
        <v>#REF!</v>
      </c>
      <c r="AB12" s="4" t="e">
        <f>#REF!-#REF!</f>
        <v>#REF!</v>
      </c>
      <c r="AC12" s="4" t="e">
        <f>#REF!-#REF!</f>
        <v>#REF!</v>
      </c>
      <c r="AD12" s="4" t="e">
        <f>#REF!-#REF!</f>
        <v>#REF!</v>
      </c>
      <c r="AG12" s="42"/>
    </row>
    <row r="13" spans="1:33">
      <c r="A13" s="13">
        <v>1978</v>
      </c>
      <c r="B13" s="45">
        <v>2351.6</v>
      </c>
      <c r="C13" s="45">
        <v>2328.3000000000002</v>
      </c>
      <c r="D13" s="45">
        <v>2373.1999999999998</v>
      </c>
      <c r="E13" s="45">
        <v>2349.9</v>
      </c>
      <c r="F13" s="45">
        <v>2024.4</v>
      </c>
      <c r="G13" s="45">
        <v>2001.1</v>
      </c>
      <c r="H13" s="45">
        <v>2046</v>
      </c>
      <c r="I13" s="45">
        <f>E13-'2'!B14</f>
        <v>2160.5</v>
      </c>
      <c r="J13" s="45"/>
      <c r="K13" s="13">
        <v>1990</v>
      </c>
      <c r="L13" s="45">
        <v>695.48700000000008</v>
      </c>
      <c r="M13" s="45">
        <v>695.48700000000008</v>
      </c>
      <c r="N13" s="45">
        <f t="shared" si="0"/>
        <v>670.46100000000001</v>
      </c>
      <c r="O13" s="45">
        <v>670.46100000000001</v>
      </c>
      <c r="P13" s="45">
        <f>L13-'2'!$F14</f>
        <v>-105865.51300000001</v>
      </c>
      <c r="Q13" s="45">
        <v>588.92599999999993</v>
      </c>
      <c r="R13" s="45">
        <f>N13-'2'!$F14</f>
        <v>-105890.539</v>
      </c>
      <c r="S13" s="45">
        <v>563.9</v>
      </c>
      <c r="T13" s="23">
        <v>10.335000000000001</v>
      </c>
      <c r="V13" s="19">
        <f t="shared" si="1"/>
        <v>5.2999999999999545</v>
      </c>
      <c r="W13" s="19">
        <f t="shared" si="2"/>
        <v>5.2999999999999545</v>
      </c>
      <c r="X13" s="19">
        <f t="shared" si="3"/>
        <v>5.3999999999999773</v>
      </c>
      <c r="Y13" s="19">
        <f t="shared" si="4"/>
        <v>-45.600000000000136</v>
      </c>
      <c r="AA13" s="4" t="e">
        <f>#REF!-#REF!</f>
        <v>#REF!</v>
      </c>
      <c r="AB13" s="4" t="e">
        <f>#REF!-#REF!</f>
        <v>#REF!</v>
      </c>
      <c r="AC13" s="4" t="e">
        <f>#REF!-#REF!</f>
        <v>#REF!</v>
      </c>
      <c r="AD13" s="4" t="e">
        <f>#REF!-#REF!</f>
        <v>#REF!</v>
      </c>
      <c r="AG13" s="42"/>
    </row>
    <row r="14" spans="1:33">
      <c r="A14" s="13">
        <v>1979</v>
      </c>
      <c r="B14" s="45">
        <v>2627.3</v>
      </c>
      <c r="C14" s="45">
        <v>2582.3000000000002</v>
      </c>
      <c r="D14" s="45">
        <v>2659.3</v>
      </c>
      <c r="E14" s="45">
        <v>2614.1999999999998</v>
      </c>
      <c r="F14" s="45">
        <v>2253.5</v>
      </c>
      <c r="G14" s="45">
        <v>2208.4</v>
      </c>
      <c r="H14" s="45">
        <v>2285.4</v>
      </c>
      <c r="I14" s="45">
        <f>E14-'2'!B15</f>
        <v>2398.1</v>
      </c>
      <c r="J14" s="45"/>
      <c r="K14" s="13">
        <v>1991</v>
      </c>
      <c r="L14" s="45">
        <v>701.76099999999997</v>
      </c>
      <c r="M14" s="45">
        <v>701.76099999999997</v>
      </c>
      <c r="N14" s="45">
        <f t="shared" si="0"/>
        <v>678.50400000000002</v>
      </c>
      <c r="O14" s="45">
        <v>678.50400000000002</v>
      </c>
      <c r="P14" s="45">
        <f>L14-'2'!$F15</f>
        <v>-106840.239</v>
      </c>
      <c r="Q14" s="45">
        <v>594.21899999999994</v>
      </c>
      <c r="R14" s="45">
        <f>N14-'2'!$F15</f>
        <v>-106863.496</v>
      </c>
      <c r="S14" s="45">
        <v>570.96199999999999</v>
      </c>
      <c r="T14" s="23">
        <v>11.241</v>
      </c>
      <c r="V14" s="19">
        <f t="shared" si="1"/>
        <v>9.6000000000001364</v>
      </c>
      <c r="W14" s="19">
        <f t="shared" si="2"/>
        <v>9.5</v>
      </c>
      <c r="X14" s="19">
        <f t="shared" si="3"/>
        <v>9.5</v>
      </c>
      <c r="Y14" s="19">
        <f t="shared" si="4"/>
        <v>-47.100000000000136</v>
      </c>
      <c r="AA14" s="4" t="e">
        <f>#REF!-#REF!</f>
        <v>#REF!</v>
      </c>
      <c r="AB14" s="4" t="e">
        <f>#REF!-#REF!</f>
        <v>#REF!</v>
      </c>
      <c r="AC14" s="4" t="e">
        <f>#REF!-#REF!</f>
        <v>#REF!</v>
      </c>
      <c r="AD14" s="4" t="e">
        <f>#REF!-#REF!</f>
        <v>#REF!</v>
      </c>
      <c r="AG14" s="42"/>
    </row>
    <row r="15" spans="1:33">
      <c r="A15" s="13">
        <v>1980</v>
      </c>
      <c r="B15" s="45">
        <v>2857.3</v>
      </c>
      <c r="C15" s="45">
        <v>2812.9</v>
      </c>
      <c r="D15" s="45">
        <v>2891.5</v>
      </c>
      <c r="E15" s="45">
        <v>2847.1</v>
      </c>
      <c r="F15" s="45">
        <v>2428.9</v>
      </c>
      <c r="G15" s="45">
        <v>2384.4</v>
      </c>
      <c r="H15" s="45">
        <v>2463.1</v>
      </c>
      <c r="I15" s="45">
        <f>E15-'2'!B16</f>
        <v>2601.2999999999997</v>
      </c>
      <c r="J15" s="45"/>
      <c r="K15" s="13">
        <v>1992</v>
      </c>
      <c r="L15" s="45">
        <v>718.423</v>
      </c>
      <c r="M15" s="45">
        <v>718.423</v>
      </c>
      <c r="N15" s="45">
        <f t="shared" si="0"/>
        <v>692.66899999999998</v>
      </c>
      <c r="O15" s="45">
        <v>692.66899999999998</v>
      </c>
      <c r="P15" s="45">
        <f>L15-'2'!$F16</f>
        <v>-110558.577</v>
      </c>
      <c r="Q15" s="45">
        <v>607.14599999999996</v>
      </c>
      <c r="R15" s="45">
        <f>N15-'2'!$F16</f>
        <v>-110584.33100000001</v>
      </c>
      <c r="S15" s="45">
        <v>581.39199999999994</v>
      </c>
      <c r="T15" s="23">
        <v>12.207000000000001</v>
      </c>
      <c r="V15" s="19">
        <f t="shared" si="1"/>
        <v>7.1999999999998181</v>
      </c>
      <c r="W15" s="19">
        <f t="shared" si="2"/>
        <v>7.2000000000000455</v>
      </c>
      <c r="X15" s="19">
        <f t="shared" si="3"/>
        <v>7.1999999999998181</v>
      </c>
      <c r="Y15" s="19">
        <f t="shared" si="4"/>
        <v>-51.5</v>
      </c>
      <c r="AA15" s="4" t="e">
        <f>#REF!-#REF!</f>
        <v>#REF!</v>
      </c>
      <c r="AB15" s="4" t="e">
        <f>#REF!-#REF!</f>
        <v>#REF!</v>
      </c>
      <c r="AC15" s="4" t="e">
        <f>#REF!-#REF!</f>
        <v>#REF!</v>
      </c>
      <c r="AD15" s="4" t="e">
        <f>#REF!-#REF!</f>
        <v>#REF!</v>
      </c>
      <c r="AG15" s="42"/>
    </row>
    <row r="16" spans="1:33">
      <c r="A16" s="13">
        <v>1981</v>
      </c>
      <c r="B16" s="45">
        <v>3207</v>
      </c>
      <c r="C16" s="45">
        <v>3169</v>
      </c>
      <c r="D16" s="45">
        <v>3240</v>
      </c>
      <c r="E16" s="45">
        <v>3201.9</v>
      </c>
      <c r="F16" s="45">
        <v>2719.8</v>
      </c>
      <c r="G16" s="45">
        <v>2681.7</v>
      </c>
      <c r="H16" s="45">
        <v>2752.7</v>
      </c>
      <c r="I16" s="45">
        <f>E16-'2'!B17</f>
        <v>2900.7000000000003</v>
      </c>
      <c r="J16" s="45"/>
      <c r="K16" s="13">
        <v>1993</v>
      </c>
      <c r="L16" s="45">
        <v>747.02499999999998</v>
      </c>
      <c r="M16" s="45">
        <v>747.02499999999998</v>
      </c>
      <c r="N16" s="45">
        <f t="shared" si="0"/>
        <v>721.63400000000001</v>
      </c>
      <c r="O16" s="45">
        <v>721.63400000000001</v>
      </c>
      <c r="P16" s="45">
        <f>L16-'2'!$F17</f>
        <v>-113428.97500000001</v>
      </c>
      <c r="Q16" s="45">
        <v>632.84899999999993</v>
      </c>
      <c r="R16" s="45">
        <f>N16-'2'!$F17</f>
        <v>-113454.36599999999</v>
      </c>
      <c r="S16" s="45">
        <v>607.45799999999997</v>
      </c>
      <c r="T16" s="23">
        <v>14.202999999999999</v>
      </c>
      <c r="V16" s="19">
        <f t="shared" si="1"/>
        <v>6.2000000000000455</v>
      </c>
      <c r="W16" s="19">
        <f t="shared" si="2"/>
        <v>6.2000000000000455</v>
      </c>
      <c r="X16" s="19">
        <f t="shared" si="3"/>
        <v>6.2000000000000455</v>
      </c>
      <c r="Y16" s="19">
        <f t="shared" si="4"/>
        <v>-60.599999999999909</v>
      </c>
      <c r="AA16" s="4" t="e">
        <f>#REF!-#REF!</f>
        <v>#REF!</v>
      </c>
      <c r="AB16" s="4" t="e">
        <f>#REF!-#REF!</f>
        <v>#REF!</v>
      </c>
      <c r="AC16" s="4" t="e">
        <f>#REF!-#REF!</f>
        <v>#REF!</v>
      </c>
      <c r="AD16" s="4" t="e">
        <f>#REF!-#REF!</f>
        <v>#REF!</v>
      </c>
      <c r="AG16" s="42"/>
    </row>
    <row r="17" spans="1:33">
      <c r="A17" s="13">
        <v>1982</v>
      </c>
      <c r="B17" s="45">
        <v>3343.8</v>
      </c>
      <c r="C17" s="45">
        <v>3335</v>
      </c>
      <c r="D17" s="45">
        <v>3380.3</v>
      </c>
      <c r="E17" s="45">
        <v>3371.4</v>
      </c>
      <c r="F17" s="45">
        <v>2806.8</v>
      </c>
      <c r="G17" s="45">
        <v>2798</v>
      </c>
      <c r="H17" s="45">
        <v>2843.3</v>
      </c>
      <c r="I17" s="45">
        <f>E17-'2'!B18</f>
        <v>3028.3</v>
      </c>
      <c r="J17" s="45"/>
      <c r="K17" s="13">
        <v>1994</v>
      </c>
      <c r="L17" s="45">
        <v>791.95900000000006</v>
      </c>
      <c r="M17" s="45">
        <v>791.95900000000006</v>
      </c>
      <c r="N17" s="45">
        <f t="shared" si="0"/>
        <v>763.59300000000007</v>
      </c>
      <c r="O17" s="45">
        <v>763.59300000000007</v>
      </c>
      <c r="P17" s="45">
        <f>L17-'2'!$F18</f>
        <v>-119499.041</v>
      </c>
      <c r="Q17" s="45">
        <v>671.66800000000001</v>
      </c>
      <c r="R17" s="45">
        <f>N17-'2'!$F18</f>
        <v>-119527.40700000001</v>
      </c>
      <c r="S17" s="45">
        <v>643.30200000000002</v>
      </c>
      <c r="T17" s="23">
        <v>17.181999999999999</v>
      </c>
      <c r="V17" s="19">
        <f t="shared" si="1"/>
        <v>7.4000000000000909</v>
      </c>
      <c r="W17" s="19">
        <f t="shared" si="2"/>
        <v>7.5</v>
      </c>
      <c r="X17" s="19">
        <f t="shared" si="3"/>
        <v>7.3999999999998636</v>
      </c>
      <c r="Y17" s="19">
        <f t="shared" si="4"/>
        <v>-75.499999999999773</v>
      </c>
      <c r="AA17" s="4" t="e">
        <f>#REF!-#REF!</f>
        <v>#REF!</v>
      </c>
      <c r="AB17" s="4" t="e">
        <f>#REF!-#REF!</f>
        <v>#REF!</v>
      </c>
      <c r="AC17" s="4" t="e">
        <f>#REF!-#REF!</f>
        <v>#REF!</v>
      </c>
      <c r="AD17" s="4" t="e">
        <f>#REF!-#REF!</f>
        <v>#REF!</v>
      </c>
      <c r="AG17" s="42"/>
    </row>
    <row r="18" spans="1:33">
      <c r="A18" s="13">
        <v>1983</v>
      </c>
      <c r="B18" s="45">
        <v>3634</v>
      </c>
      <c r="C18" s="45">
        <v>3577.1</v>
      </c>
      <c r="D18" s="45">
        <v>3671.1</v>
      </c>
      <c r="E18" s="45">
        <v>3614.2</v>
      </c>
      <c r="F18" s="45">
        <v>3071.4</v>
      </c>
      <c r="G18" s="45">
        <v>3014.5</v>
      </c>
      <c r="H18" s="45">
        <v>3108.5</v>
      </c>
      <c r="I18" s="45">
        <f>E18-'2'!B19</f>
        <v>3228.6</v>
      </c>
      <c r="J18" s="45"/>
      <c r="K18" s="13">
        <v>1995</v>
      </c>
      <c r="L18" s="45">
        <v>831.59400000000005</v>
      </c>
      <c r="M18" s="45">
        <v>831.59400000000005</v>
      </c>
      <c r="N18" s="45">
        <f t="shared" si="0"/>
        <v>802.94600000000003</v>
      </c>
      <c r="O18" s="45">
        <v>802.94600000000003</v>
      </c>
      <c r="P18" s="45">
        <f>L18-'2'!$F19</f>
        <v>-124611.406</v>
      </c>
      <c r="Q18" s="45">
        <v>706.15100000000007</v>
      </c>
      <c r="R18" s="45">
        <f>N18-'2'!$F19</f>
        <v>-124640.054</v>
      </c>
      <c r="S18" s="45">
        <v>677.50299999999993</v>
      </c>
      <c r="T18" s="23">
        <v>19.675999999999998</v>
      </c>
      <c r="V18" s="19">
        <f t="shared" si="1"/>
        <v>13.300000000000182</v>
      </c>
      <c r="W18" s="19">
        <f t="shared" si="2"/>
        <v>13.300000000000182</v>
      </c>
      <c r="X18" s="19">
        <f t="shared" si="3"/>
        <v>13.400000000000091</v>
      </c>
      <c r="Y18" s="19">
        <f t="shared" si="4"/>
        <v>-89.299999999999727</v>
      </c>
      <c r="AA18" s="4" t="e">
        <f>#REF!-#REF!</f>
        <v>#REF!</v>
      </c>
      <c r="AB18" s="4" t="e">
        <f>#REF!-#REF!</f>
        <v>#REF!</v>
      </c>
      <c r="AC18" s="4" t="e">
        <f>#REF!-#REF!</f>
        <v>#REF!</v>
      </c>
      <c r="AD18" s="4" t="e">
        <f>#REF!-#REF!</f>
        <v>#REF!</v>
      </c>
      <c r="AG18" s="42"/>
    </row>
    <row r="19" spans="1:33">
      <c r="A19" s="13">
        <v>1984</v>
      </c>
      <c r="B19" s="45">
        <v>4037.6</v>
      </c>
      <c r="C19" s="45">
        <v>3996</v>
      </c>
      <c r="D19" s="45">
        <v>4073.9</v>
      </c>
      <c r="E19" s="45">
        <v>4032.3</v>
      </c>
      <c r="F19" s="45">
        <v>3439.2</v>
      </c>
      <c r="G19" s="45">
        <v>3397.6</v>
      </c>
      <c r="H19" s="45">
        <v>3475.5</v>
      </c>
      <c r="I19" s="45">
        <f>E19-'2'!B20</f>
        <v>3596.7000000000003</v>
      </c>
      <c r="J19" s="45"/>
      <c r="K19" s="13">
        <v>1996</v>
      </c>
      <c r="L19" s="45">
        <v>859.80499999999995</v>
      </c>
      <c r="M19" s="45">
        <v>859.80499999999995</v>
      </c>
      <c r="N19" s="45">
        <f t="shared" si="0"/>
        <v>831.23699999999997</v>
      </c>
      <c r="O19" s="45">
        <v>831.23699999999997</v>
      </c>
      <c r="P19" s="45">
        <f>L19-'2'!$F20</f>
        <v>-130040.19500000001</v>
      </c>
      <c r="Q19" s="45">
        <v>728.90499999999997</v>
      </c>
      <c r="R19" s="45">
        <f>N19-'2'!$F20</f>
        <v>-130068.76300000001</v>
      </c>
      <c r="S19" s="45">
        <v>700.33699999999999</v>
      </c>
      <c r="T19" s="23">
        <v>22.462</v>
      </c>
      <c r="V19" s="19">
        <f t="shared" si="1"/>
        <v>20.600000000000136</v>
      </c>
      <c r="W19" s="19">
        <f t="shared" si="2"/>
        <v>20.700000000000045</v>
      </c>
      <c r="X19" s="19">
        <f t="shared" si="3"/>
        <v>20.700000000000045</v>
      </c>
      <c r="Y19" s="19">
        <f t="shared" si="4"/>
        <v>-92.199999999999818</v>
      </c>
      <c r="AA19" s="4" t="e">
        <f>#REF!-#REF!</f>
        <v>#REF!</v>
      </c>
      <c r="AB19" s="4" t="e">
        <f>#REF!-#REF!</f>
        <v>#REF!</v>
      </c>
      <c r="AC19" s="4" t="e">
        <f>#REF!-#REF!</f>
        <v>#REF!</v>
      </c>
      <c r="AD19" s="4" t="e">
        <f>#REF!-#REF!</f>
        <v>#REF!</v>
      </c>
      <c r="AG19" s="42"/>
    </row>
    <row r="20" spans="1:33">
      <c r="A20" s="13">
        <v>1985</v>
      </c>
      <c r="B20" s="45">
        <v>4339</v>
      </c>
      <c r="C20" s="45">
        <v>4284.7</v>
      </c>
      <c r="D20" s="45">
        <v>4364.3</v>
      </c>
      <c r="E20" s="45">
        <v>4310.1000000000004</v>
      </c>
      <c r="F20" s="45">
        <v>3698.8</v>
      </c>
      <c r="G20" s="45">
        <v>3644.6</v>
      </c>
      <c r="H20" s="45">
        <v>3724.2</v>
      </c>
      <c r="I20" s="45">
        <f>E20-'2'!B21</f>
        <v>3816.6000000000004</v>
      </c>
      <c r="J20" s="45"/>
      <c r="K20" s="13">
        <v>1997</v>
      </c>
      <c r="L20" s="45">
        <v>906.89700000000005</v>
      </c>
      <c r="M20" s="45">
        <v>906.89700000000005</v>
      </c>
      <c r="N20" s="45">
        <f t="shared" si="0"/>
        <v>878.76400000000012</v>
      </c>
      <c r="O20" s="45">
        <v>878.76400000000012</v>
      </c>
      <c r="P20" s="45">
        <f>L20-'2'!$F21</f>
        <v>-137510.103</v>
      </c>
      <c r="Q20" s="45">
        <v>768.48</v>
      </c>
      <c r="R20" s="45">
        <f>N20-'2'!$F21</f>
        <v>-137538.236</v>
      </c>
      <c r="S20" s="45">
        <v>740.34699999999998</v>
      </c>
      <c r="T20" s="23">
        <v>24.905000000000001</v>
      </c>
      <c r="V20" s="19">
        <f t="shared" si="1"/>
        <v>19.400000000000091</v>
      </c>
      <c r="W20" s="19">
        <f t="shared" si="2"/>
        <v>19.400000000000091</v>
      </c>
      <c r="X20" s="19">
        <f t="shared" si="3"/>
        <v>19.5</v>
      </c>
      <c r="Y20" s="19">
        <f t="shared" si="4"/>
        <v>-103.39999999999986</v>
      </c>
      <c r="AA20" s="4" t="e">
        <f>#REF!-#REF!</f>
        <v>#REF!</v>
      </c>
      <c r="AB20" s="4" t="e">
        <f>#REF!-#REF!</f>
        <v>#REF!</v>
      </c>
      <c r="AC20" s="4" t="e">
        <f>#REF!-#REF!</f>
        <v>#REF!</v>
      </c>
      <c r="AD20" s="4" t="e">
        <f>#REF!-#REF!</f>
        <v>#REF!</v>
      </c>
      <c r="AG20" s="42"/>
    </row>
    <row r="21" spans="1:33">
      <c r="A21" s="13">
        <v>1986</v>
      </c>
      <c r="B21" s="45">
        <v>4579.6000000000004</v>
      </c>
      <c r="C21" s="45">
        <v>4499.6000000000004</v>
      </c>
      <c r="D21" s="45">
        <v>4596.6000000000004</v>
      </c>
      <c r="E21" s="45">
        <v>4516.5</v>
      </c>
      <c r="F21" s="45">
        <v>3894.3</v>
      </c>
      <c r="G21" s="45">
        <v>3814.3</v>
      </c>
      <c r="H21" s="45">
        <v>3911.3</v>
      </c>
      <c r="I21" s="45">
        <f>E21-'2'!B22</f>
        <v>4004.5</v>
      </c>
      <c r="J21" s="45"/>
      <c r="K21" s="13">
        <v>1998</v>
      </c>
      <c r="L21" s="45">
        <v>940.53599999999983</v>
      </c>
      <c r="M21" s="45">
        <v>940.53599999999983</v>
      </c>
      <c r="N21" s="45">
        <f t="shared" si="0"/>
        <v>908.89099999999996</v>
      </c>
      <c r="O21" s="45">
        <v>908.89099999999996</v>
      </c>
      <c r="P21" s="45">
        <f>L21-'2'!$F22</f>
        <v>-147010.46400000001</v>
      </c>
      <c r="Q21" s="45">
        <v>792.58500000000004</v>
      </c>
      <c r="R21" s="45">
        <f>N21-'2'!$F22</f>
        <v>-147042.109</v>
      </c>
      <c r="S21" s="45">
        <v>760.94</v>
      </c>
      <c r="T21" s="23">
        <v>27.808</v>
      </c>
      <c r="V21" s="19">
        <f t="shared" si="1"/>
        <v>23.299999999999727</v>
      </c>
      <c r="W21" s="19">
        <f t="shared" si="2"/>
        <v>23.299999999999727</v>
      </c>
      <c r="X21" s="19">
        <f t="shared" si="3"/>
        <v>23.300000000000182</v>
      </c>
      <c r="Y21" s="19">
        <f t="shared" si="4"/>
        <v>-114.5</v>
      </c>
      <c r="AA21" s="4" t="e">
        <f>#REF!-#REF!</f>
        <v>#REF!</v>
      </c>
      <c r="AB21" s="4" t="e">
        <f>#REF!-#REF!</f>
        <v>#REF!</v>
      </c>
      <c r="AC21" s="4" t="e">
        <f>#REF!-#REF!</f>
        <v>#REF!</v>
      </c>
      <c r="AD21" s="4" t="e">
        <f>#REF!-#REF!</f>
        <v>#REF!</v>
      </c>
      <c r="AG21" s="42"/>
    </row>
    <row r="22" spans="1:33">
      <c r="A22" s="13">
        <v>1987</v>
      </c>
      <c r="B22" s="45">
        <v>4855.2</v>
      </c>
      <c r="C22" s="45">
        <v>4811.3999999999996</v>
      </c>
      <c r="D22" s="45">
        <v>4872.7</v>
      </c>
      <c r="E22" s="45">
        <v>4828.8999999999996</v>
      </c>
      <c r="F22" s="45">
        <v>4124.8</v>
      </c>
      <c r="G22" s="45">
        <v>4081</v>
      </c>
      <c r="H22" s="45">
        <v>4142.3</v>
      </c>
      <c r="I22" s="45">
        <f>E22-'2'!B23</f>
        <v>4295.7999999999993</v>
      </c>
      <c r="J22" s="45"/>
      <c r="K22" s="13">
        <v>1999</v>
      </c>
      <c r="L22" s="45">
        <v>1007.914</v>
      </c>
      <c r="M22" s="45">
        <v>1007.914</v>
      </c>
      <c r="N22" s="45">
        <f t="shared" si="0"/>
        <v>973.98899999999992</v>
      </c>
      <c r="O22" s="45">
        <v>973.98899999999992</v>
      </c>
      <c r="P22" s="45">
        <f>L22-'2'!$F23</f>
        <v>-153917.08600000001</v>
      </c>
      <c r="Q22" s="45">
        <v>852.98900000000003</v>
      </c>
      <c r="R22" s="45">
        <f>N22-'2'!$F23</f>
        <v>-153951.011</v>
      </c>
      <c r="S22" s="45">
        <v>819.06399999999996</v>
      </c>
      <c r="T22" s="23">
        <v>32.073</v>
      </c>
      <c r="V22" s="19">
        <f t="shared" si="1"/>
        <v>45</v>
      </c>
      <c r="W22" s="19">
        <f t="shared" si="2"/>
        <v>45.100000000000364</v>
      </c>
      <c r="X22" s="19">
        <f t="shared" si="3"/>
        <v>45.099999999999909</v>
      </c>
      <c r="Y22" s="19">
        <f t="shared" si="4"/>
        <v>-112.69999999999982</v>
      </c>
      <c r="AA22" s="4" t="e">
        <f>#REF!-#REF!</f>
        <v>#REF!</v>
      </c>
      <c r="AB22" s="4" t="e">
        <f>#REF!-#REF!</f>
        <v>#REF!</v>
      </c>
      <c r="AC22" s="4" t="e">
        <f>#REF!-#REF!</f>
        <v>#REF!</v>
      </c>
      <c r="AD22" s="4" t="e">
        <f>#REF!-#REF!</f>
        <v>#REF!</v>
      </c>
      <c r="AG22" s="42"/>
    </row>
    <row r="23" spans="1:33">
      <c r="A23" s="13">
        <v>1988</v>
      </c>
      <c r="B23" s="45">
        <v>5236.3999999999996</v>
      </c>
      <c r="C23" s="45">
        <v>5233.3999999999996</v>
      </c>
      <c r="D23" s="45">
        <v>5259.1</v>
      </c>
      <c r="E23" s="45">
        <v>5256.1</v>
      </c>
      <c r="F23" s="45">
        <v>4451.8999999999996</v>
      </c>
      <c r="G23" s="45">
        <v>4448.8999999999996</v>
      </c>
      <c r="H23" s="45">
        <v>4474.6000000000004</v>
      </c>
      <c r="I23" s="45">
        <f>E23-'2'!B24</f>
        <v>4692.4000000000005</v>
      </c>
      <c r="J23" s="45"/>
      <c r="K23" s="13">
        <v>2000</v>
      </c>
      <c r="L23" s="45">
        <v>1106.059</v>
      </c>
      <c r="M23" s="45">
        <v>1106.059</v>
      </c>
      <c r="N23" s="45">
        <f t="shared" si="0"/>
        <v>1077.038</v>
      </c>
      <c r="O23" s="45">
        <v>1077.038</v>
      </c>
      <c r="P23" s="45">
        <f>L23-'2'!$F24</f>
        <v>-164024.94099999999</v>
      </c>
      <c r="Q23" s="45">
        <v>940.928</v>
      </c>
      <c r="R23" s="45">
        <f>N23-'2'!$F24</f>
        <v>-164053.962</v>
      </c>
      <c r="S23" s="45">
        <v>911.90699999999993</v>
      </c>
      <c r="T23" s="23">
        <v>37.212000000000003</v>
      </c>
      <c r="V23" s="19">
        <f t="shared" si="1"/>
        <v>44.400000000000091</v>
      </c>
      <c r="W23" s="19">
        <f t="shared" si="2"/>
        <v>44.400000000000091</v>
      </c>
      <c r="X23" s="19">
        <f t="shared" si="3"/>
        <v>44.5</v>
      </c>
      <c r="Y23" s="19">
        <f t="shared" si="4"/>
        <v>-138.19999999999982</v>
      </c>
      <c r="AA23" s="4" t="e">
        <f>#REF!-#REF!</f>
        <v>#REF!</v>
      </c>
      <c r="AB23" s="4" t="e">
        <f>#REF!-#REF!</f>
        <v>#REF!</v>
      </c>
      <c r="AC23" s="4" t="e">
        <f>#REF!-#REF!</f>
        <v>#REF!</v>
      </c>
      <c r="AD23" s="4" t="e">
        <f>#REF!-#REF!</f>
        <v>#REF!</v>
      </c>
      <c r="AG23" s="42"/>
    </row>
    <row r="24" spans="1:33">
      <c r="A24" s="13">
        <v>1989</v>
      </c>
      <c r="B24" s="45">
        <v>5641.6</v>
      </c>
      <c r="C24" s="45">
        <v>5573.6</v>
      </c>
      <c r="D24" s="45">
        <v>5666.4</v>
      </c>
      <c r="E24" s="45">
        <v>5598.4</v>
      </c>
      <c r="F24" s="45">
        <v>4803.3</v>
      </c>
      <c r="G24" s="45">
        <v>4735.3</v>
      </c>
      <c r="H24" s="45">
        <v>4828.1000000000004</v>
      </c>
      <c r="I24" s="45">
        <f>E24-'2'!B25</f>
        <v>5008.8999999999996</v>
      </c>
      <c r="J24" s="45"/>
      <c r="K24" s="13">
        <v>2001</v>
      </c>
      <c r="L24" s="45">
        <v>1144.5329999999999</v>
      </c>
      <c r="M24" s="45">
        <v>1144.5329999999999</v>
      </c>
      <c r="N24" s="45">
        <f t="shared" si="0"/>
        <v>1112.306</v>
      </c>
      <c r="O24" s="45">
        <v>1112.306</v>
      </c>
      <c r="P24" s="45">
        <f>L24-'2'!$F25</f>
        <v>-174439.467</v>
      </c>
      <c r="Q24" s="45">
        <v>968.94900000000007</v>
      </c>
      <c r="R24" s="45">
        <f>N24-'2'!$F25</f>
        <v>-174471.69399999999</v>
      </c>
      <c r="S24" s="45">
        <v>936.72199999999998</v>
      </c>
      <c r="T24" s="23">
        <v>43.012</v>
      </c>
      <c r="V24" s="19">
        <f t="shared" si="1"/>
        <v>38</v>
      </c>
      <c r="W24" s="19">
        <f t="shared" si="2"/>
        <v>38.099999999999909</v>
      </c>
      <c r="X24" s="19">
        <f t="shared" si="3"/>
        <v>38.100000000000364</v>
      </c>
      <c r="Y24" s="19">
        <f t="shared" si="4"/>
        <v>-148.00000000000045</v>
      </c>
      <c r="AA24" s="4" t="e">
        <f>#REF!-#REF!</f>
        <v>#REF!</v>
      </c>
      <c r="AB24" s="4" t="e">
        <f>N4-#REF!</f>
        <v>#REF!</v>
      </c>
      <c r="AC24" s="4" t="e">
        <f>P4-#REF!</f>
        <v>#REF!</v>
      </c>
      <c r="AD24" s="4" t="e">
        <f>R4-#REF!</f>
        <v>#REF!</v>
      </c>
      <c r="AG24" s="42"/>
    </row>
    <row r="25" spans="1:33">
      <c r="A25" s="13">
        <v>1990</v>
      </c>
      <c r="B25" s="45">
        <v>5963.1</v>
      </c>
      <c r="C25" s="45">
        <v>5867.6</v>
      </c>
      <c r="D25" s="45">
        <v>5997.8</v>
      </c>
      <c r="E25" s="45">
        <v>5902.3</v>
      </c>
      <c r="F25" s="45">
        <v>5074.6000000000004</v>
      </c>
      <c r="G25" s="45">
        <v>4979.1000000000004</v>
      </c>
      <c r="H25" s="45">
        <v>5109.3</v>
      </c>
      <c r="I25" s="45">
        <f>E25-'2'!B26</f>
        <v>5306.3</v>
      </c>
      <c r="J25" s="45"/>
      <c r="K25" s="13">
        <v>2002</v>
      </c>
      <c r="L25" s="45">
        <v>1193.6869999999999</v>
      </c>
      <c r="M25" s="45">
        <v>1193.6869999999999</v>
      </c>
      <c r="N25" s="45">
        <f t="shared" si="0"/>
        <v>1163.4830000000002</v>
      </c>
      <c r="O25" s="45">
        <v>1163.4830000000002</v>
      </c>
      <c r="P25" s="45">
        <f>L25-'2'!$F26</f>
        <v>-182292.31299999999</v>
      </c>
      <c r="Q25" s="45">
        <v>1010.201</v>
      </c>
      <c r="R25" s="45">
        <f>N25-'2'!$F26</f>
        <v>-182322.51699999999</v>
      </c>
      <c r="S25" s="45">
        <v>979.99700000000007</v>
      </c>
      <c r="T25" s="23">
        <v>46.716999999999999</v>
      </c>
      <c r="V25" s="19">
        <f t="shared" si="1"/>
        <v>8.8000000000001819</v>
      </c>
      <c r="W25" s="19">
        <f t="shared" si="2"/>
        <v>8.9000000000000909</v>
      </c>
      <c r="X25" s="19">
        <f t="shared" si="3"/>
        <v>8.8000000000001819</v>
      </c>
      <c r="Y25" s="19">
        <f t="shared" si="4"/>
        <v>-185</v>
      </c>
      <c r="AA25" s="4" t="e">
        <f>#REF!-#REF!</f>
        <v>#REF!</v>
      </c>
      <c r="AB25" s="4" t="e">
        <f>N5-#REF!</f>
        <v>#REF!</v>
      </c>
      <c r="AC25" s="4" t="e">
        <f>P5-#REF!</f>
        <v>#REF!</v>
      </c>
      <c r="AD25" s="4" t="e">
        <f>R5-#REF!</f>
        <v>#REF!</v>
      </c>
      <c r="AG25" s="42"/>
    </row>
    <row r="26" spans="1:33">
      <c r="A26" s="13">
        <v>1991</v>
      </c>
      <c r="B26" s="45">
        <v>6158.1</v>
      </c>
      <c r="C26" s="45">
        <v>6065.2</v>
      </c>
      <c r="D26" s="45">
        <v>6189.7</v>
      </c>
      <c r="E26" s="45">
        <v>6096.8</v>
      </c>
      <c r="F26" s="45">
        <v>5225.7</v>
      </c>
      <c r="G26" s="45">
        <v>5132.8</v>
      </c>
      <c r="H26" s="45">
        <v>5257.3</v>
      </c>
      <c r="I26" s="45">
        <f>E26-'2'!B27</f>
        <v>5485.2</v>
      </c>
      <c r="J26" s="45"/>
      <c r="K26" s="13">
        <v>2003</v>
      </c>
      <c r="L26" s="45">
        <v>1254.739</v>
      </c>
      <c r="M26" s="45">
        <v>1254.739</v>
      </c>
      <c r="N26" s="45">
        <f t="shared" si="0"/>
        <v>1223.875</v>
      </c>
      <c r="O26" s="45">
        <v>1223.875</v>
      </c>
      <c r="P26" s="45">
        <f>L26-'2'!$F27</f>
        <v>-184973.261</v>
      </c>
      <c r="Q26" s="45">
        <v>1068.511</v>
      </c>
      <c r="R26" s="45">
        <f>N26-'2'!$F27</f>
        <v>-185004.125</v>
      </c>
      <c r="S26" s="45">
        <v>1037.6469999999999</v>
      </c>
      <c r="T26" s="23">
        <v>49.648000000000003</v>
      </c>
      <c r="V26" s="19">
        <f t="shared" si="1"/>
        <v>56.900000000000091</v>
      </c>
      <c r="W26" s="19">
        <f t="shared" si="2"/>
        <v>56.900000000000091</v>
      </c>
      <c r="X26" s="19">
        <f t="shared" si="3"/>
        <v>56.900000000000091</v>
      </c>
      <c r="Y26" s="19">
        <f t="shared" si="4"/>
        <v>-120.09999999999991</v>
      </c>
      <c r="AA26" s="4" t="e">
        <f>#REF!-#REF!</f>
        <v>#REF!</v>
      </c>
      <c r="AB26" s="4" t="e">
        <f>N6-#REF!</f>
        <v>#REF!</v>
      </c>
      <c r="AC26" s="4" t="e">
        <f>P6-#REF!</f>
        <v>#REF!</v>
      </c>
      <c r="AD26" s="4" t="e">
        <f>R6-#REF!</f>
        <v>#REF!</v>
      </c>
      <c r="AG26" s="42"/>
    </row>
    <row r="27" spans="1:33">
      <c r="A27" s="13">
        <v>1992</v>
      </c>
      <c r="B27" s="45">
        <v>6520.3</v>
      </c>
      <c r="C27" s="45">
        <v>6404.4</v>
      </c>
      <c r="D27" s="45">
        <v>6551.4</v>
      </c>
      <c r="E27" s="45">
        <v>6435.5</v>
      </c>
      <c r="F27" s="45">
        <v>5560.1</v>
      </c>
      <c r="G27" s="45">
        <v>5444.1</v>
      </c>
      <c r="H27" s="45">
        <v>5591.2</v>
      </c>
      <c r="I27" s="45">
        <f>E27-'2'!B28</f>
        <v>5807.1</v>
      </c>
      <c r="J27" s="45"/>
      <c r="K27" s="13">
        <v>2004</v>
      </c>
      <c r="L27" s="45">
        <v>1335.723</v>
      </c>
      <c r="M27" s="45">
        <v>1335.723</v>
      </c>
      <c r="N27" s="45">
        <f t="shared" si="0"/>
        <v>1306.933</v>
      </c>
      <c r="O27" s="45">
        <v>1306.933</v>
      </c>
      <c r="P27" s="45">
        <f>L27-'2'!$F28</f>
        <v>-192067.277</v>
      </c>
      <c r="Q27" s="45">
        <v>1142.3200000000002</v>
      </c>
      <c r="R27" s="45">
        <f>N27-'2'!$F28</f>
        <v>-192096.06700000001</v>
      </c>
      <c r="S27" s="45">
        <v>1113.53</v>
      </c>
      <c r="T27" s="23">
        <v>53.316000000000003</v>
      </c>
      <c r="V27" s="19">
        <f t="shared" si="1"/>
        <v>41.599999999999909</v>
      </c>
      <c r="W27" s="19">
        <f t="shared" si="2"/>
        <v>41.599999999999909</v>
      </c>
      <c r="X27" s="19">
        <f t="shared" si="3"/>
        <v>41.599999999999909</v>
      </c>
      <c r="Y27" s="19">
        <f t="shared" si="4"/>
        <v>-121.20000000000027</v>
      </c>
      <c r="AA27" s="4" t="e">
        <f>#REF!-#REF!</f>
        <v>#REF!</v>
      </c>
      <c r="AB27" s="4" t="e">
        <f>N7-#REF!</f>
        <v>#REF!</v>
      </c>
      <c r="AC27" s="4" t="e">
        <f>P7-#REF!</f>
        <v>#REF!</v>
      </c>
      <c r="AD27" s="4" t="e">
        <f>R7-#REF!</f>
        <v>#REF!</v>
      </c>
      <c r="AG27" s="42"/>
    </row>
    <row r="28" spans="1:33">
      <c r="A28" s="13">
        <v>1993</v>
      </c>
      <c r="B28" s="45">
        <v>6858.6</v>
      </c>
      <c r="C28" s="45">
        <v>6702.6</v>
      </c>
      <c r="D28" s="45">
        <v>6889.7</v>
      </c>
      <c r="E28" s="45">
        <v>6733.8</v>
      </c>
      <c r="F28" s="45">
        <v>5855.1</v>
      </c>
      <c r="G28" s="45">
        <v>5699.1</v>
      </c>
      <c r="H28" s="45">
        <v>5886.2</v>
      </c>
      <c r="I28" s="45">
        <f>E28-'2'!B29</f>
        <v>6074.9000000000005</v>
      </c>
      <c r="J28" s="45"/>
      <c r="K28" s="13">
        <v>2005</v>
      </c>
      <c r="L28" s="45">
        <v>1421.5720000000001</v>
      </c>
      <c r="M28" s="45">
        <v>1421.5720000000001</v>
      </c>
      <c r="N28" s="45">
        <f t="shared" si="0"/>
        <v>1392.5050000000001</v>
      </c>
      <c r="O28" s="45">
        <v>1392.5050000000001</v>
      </c>
      <c r="P28" s="45">
        <f>L28-'2'!$F29</f>
        <v>-202871.42800000001</v>
      </c>
      <c r="Q28" s="45">
        <v>1217.279</v>
      </c>
      <c r="R28" s="45">
        <f>N28-'2'!$F29</f>
        <v>-202900.495</v>
      </c>
      <c r="S28" s="45">
        <v>1188.212</v>
      </c>
      <c r="T28" s="23">
        <v>58.365000000000002</v>
      </c>
      <c r="V28" s="19">
        <f t="shared" si="1"/>
        <v>54.300000000000182</v>
      </c>
      <c r="W28" s="19">
        <f t="shared" si="2"/>
        <v>54.199999999999818</v>
      </c>
      <c r="X28" s="19">
        <f t="shared" si="3"/>
        <v>54.200000000000273</v>
      </c>
      <c r="Y28" s="19">
        <f t="shared" si="4"/>
        <v>-92.400000000000546</v>
      </c>
      <c r="AA28" s="4" t="e">
        <f>#REF!-#REF!</f>
        <v>#REF!</v>
      </c>
      <c r="AB28" s="4" t="e">
        <f>N8-#REF!</f>
        <v>#REF!</v>
      </c>
      <c r="AC28" s="4" t="e">
        <f>P8-#REF!</f>
        <v>#REF!</v>
      </c>
      <c r="AD28" s="4" t="e">
        <f>R8-#REF!</f>
        <v>#REF!</v>
      </c>
      <c r="AG28" s="42"/>
    </row>
    <row r="29" spans="1:33">
      <c r="A29" s="13">
        <v>1994</v>
      </c>
      <c r="B29" s="45">
        <v>7287.2</v>
      </c>
      <c r="C29" s="45">
        <v>7147.3</v>
      </c>
      <c r="D29" s="45">
        <v>7310.2</v>
      </c>
      <c r="E29" s="45">
        <v>7170.3</v>
      </c>
      <c r="F29" s="45">
        <v>6231.6</v>
      </c>
      <c r="G29" s="45">
        <v>6091.7</v>
      </c>
      <c r="H29" s="45">
        <v>6254.6</v>
      </c>
      <c r="I29" s="45">
        <f>E29-'2'!B30</f>
        <v>6468.7</v>
      </c>
      <c r="J29" s="45"/>
      <c r="K29" s="13">
        <v>2006</v>
      </c>
      <c r="L29" s="45">
        <v>1496.5720000000001</v>
      </c>
      <c r="M29" s="45">
        <v>1496.5720000000001</v>
      </c>
      <c r="N29" s="45">
        <f t="shared" si="0"/>
        <v>1472.7559999999999</v>
      </c>
      <c r="O29" s="45">
        <v>1472.7559999999999</v>
      </c>
      <c r="P29" s="45">
        <f>L29-'2'!$F30</f>
        <v>-217821.42800000001</v>
      </c>
      <c r="Q29" s="45">
        <v>1277.2539999999999</v>
      </c>
      <c r="R29" s="45">
        <f>N29-'2'!$F30</f>
        <v>-217845.24400000001</v>
      </c>
      <c r="S29" s="45">
        <v>1253.4379999999999</v>
      </c>
      <c r="T29" s="23">
        <v>62.64</v>
      </c>
      <c r="V29" s="19">
        <f t="shared" si="1"/>
        <v>80</v>
      </c>
      <c r="W29" s="19">
        <f t="shared" si="2"/>
        <v>80.100000000000364</v>
      </c>
      <c r="X29" s="19">
        <f t="shared" si="3"/>
        <v>80</v>
      </c>
      <c r="Y29" s="19">
        <f t="shared" si="4"/>
        <v>-93.199999999999818</v>
      </c>
      <c r="AA29" s="4" t="e">
        <f>#REF!-#REF!</f>
        <v>#REF!</v>
      </c>
      <c r="AB29" s="4" t="e">
        <f>N9-#REF!</f>
        <v>#REF!</v>
      </c>
      <c r="AC29" s="4" t="e">
        <f>P9-#REF!</f>
        <v>#REF!</v>
      </c>
      <c r="AD29" s="4" t="e">
        <f>R9-#REF!</f>
        <v>#REF!</v>
      </c>
      <c r="AG29" s="42"/>
    </row>
    <row r="30" spans="1:33">
      <c r="A30" s="13">
        <v>1995</v>
      </c>
      <c r="B30" s="45">
        <v>7639.7</v>
      </c>
      <c r="C30" s="45">
        <v>7546.7</v>
      </c>
      <c r="D30" s="45">
        <v>7667.7</v>
      </c>
      <c r="E30" s="45">
        <v>7574.7</v>
      </c>
      <c r="F30" s="45">
        <v>6517.4</v>
      </c>
      <c r="G30" s="45">
        <v>6424.4</v>
      </c>
      <c r="H30" s="45">
        <v>6545.3</v>
      </c>
      <c r="I30" s="45">
        <f>E30-'2'!B31</f>
        <v>6820.8</v>
      </c>
      <c r="J30" s="45"/>
      <c r="K30" s="13">
        <v>2007</v>
      </c>
      <c r="L30" s="45">
        <v>1577.6619999999998</v>
      </c>
      <c r="M30" s="45">
        <v>1577.6619999999998</v>
      </c>
      <c r="N30" s="45">
        <f t="shared" si="0"/>
        <v>1554.4390000000001</v>
      </c>
      <c r="O30" s="45">
        <v>1554.4390000000001</v>
      </c>
      <c r="P30" s="45">
        <f>L30-'2'!$F31</f>
        <v>-233967.33799999999</v>
      </c>
      <c r="Q30" s="45">
        <v>1342.117</v>
      </c>
      <c r="R30" s="45">
        <f>N30-'2'!$F31</f>
        <v>-233990.56099999999</v>
      </c>
      <c r="S30" s="45">
        <v>1318.894</v>
      </c>
      <c r="T30" s="23">
        <v>66.253</v>
      </c>
      <c r="V30" s="19">
        <f t="shared" si="1"/>
        <v>43.800000000000182</v>
      </c>
      <c r="W30" s="19">
        <f t="shared" si="2"/>
        <v>43.800000000000182</v>
      </c>
      <c r="X30" s="19">
        <f t="shared" si="3"/>
        <v>43.800000000000182</v>
      </c>
      <c r="Y30" s="19">
        <f t="shared" si="4"/>
        <v>-153.49999999999909</v>
      </c>
      <c r="AA30" s="4" t="e">
        <f>#REF!-#REF!</f>
        <v>#REF!</v>
      </c>
      <c r="AB30" s="4" t="e">
        <f>N10-#REF!</f>
        <v>#REF!</v>
      </c>
      <c r="AC30" s="4" t="e">
        <f>P10-#REF!</f>
        <v>#REF!</v>
      </c>
      <c r="AD30" s="4" t="e">
        <f>R10-#REF!</f>
        <v>#REF!</v>
      </c>
      <c r="AG30" s="42"/>
    </row>
    <row r="31" spans="1:33">
      <c r="A31" s="13">
        <v>1996</v>
      </c>
      <c r="B31" s="45">
        <v>8073.1</v>
      </c>
      <c r="C31" s="45">
        <v>8015</v>
      </c>
      <c r="D31" s="45">
        <v>8104</v>
      </c>
      <c r="E31" s="45">
        <v>8045.9</v>
      </c>
      <c r="F31" s="45">
        <v>6897.8</v>
      </c>
      <c r="G31" s="45">
        <v>6839.7</v>
      </c>
      <c r="H31" s="45">
        <v>6928.7</v>
      </c>
      <c r="I31" s="45">
        <f>E31-'2'!B32</f>
        <v>7237.5999999999995</v>
      </c>
      <c r="J31" s="45"/>
      <c r="K31" s="13">
        <v>2008</v>
      </c>
      <c r="L31" s="45">
        <v>1657.0419999999999</v>
      </c>
      <c r="M31" s="45">
        <v>1657.0419999999999</v>
      </c>
      <c r="N31" s="45">
        <f t="shared" si="0"/>
        <v>1632.6960000000001</v>
      </c>
      <c r="O31" s="45">
        <v>1632.6960000000001</v>
      </c>
      <c r="P31" s="45">
        <f>L31-'2'!$F32</f>
        <v>-254986.95800000001</v>
      </c>
      <c r="Q31" s="45">
        <v>1400.3980000000001</v>
      </c>
      <c r="R31" s="45">
        <f>N31-'2'!$F32</f>
        <v>-255011.304</v>
      </c>
      <c r="S31" s="45">
        <v>1376.0520000000001</v>
      </c>
      <c r="T31" s="23">
        <v>70.477000000000004</v>
      </c>
      <c r="V31" s="19">
        <f t="shared" si="1"/>
        <v>3</v>
      </c>
      <c r="W31" s="19">
        <f t="shared" si="2"/>
        <v>3</v>
      </c>
      <c r="X31" s="19">
        <f t="shared" si="3"/>
        <v>3</v>
      </c>
      <c r="Y31" s="19">
        <f t="shared" si="4"/>
        <v>-217.80000000000018</v>
      </c>
      <c r="AA31" s="4" t="e">
        <f>#REF!-#REF!</f>
        <v>#REF!</v>
      </c>
      <c r="AB31" s="4" t="e">
        <f>N11-#REF!</f>
        <v>#REF!</v>
      </c>
      <c r="AC31" s="4" t="e">
        <f>P11-#REF!</f>
        <v>#REF!</v>
      </c>
      <c r="AD31" s="4" t="e">
        <f>R11-#REF!</f>
        <v>#REF!</v>
      </c>
      <c r="AG31" s="42"/>
    </row>
    <row r="32" spans="1:33">
      <c r="A32" s="13">
        <v>1997</v>
      </c>
      <c r="B32" s="45">
        <v>8577.6</v>
      </c>
      <c r="C32" s="45">
        <v>8566</v>
      </c>
      <c r="D32" s="45">
        <v>8600.9</v>
      </c>
      <c r="E32" s="45">
        <v>8589.2999999999993</v>
      </c>
      <c r="F32" s="45">
        <v>7338.2</v>
      </c>
      <c r="G32" s="45">
        <v>7326.6</v>
      </c>
      <c r="H32" s="45">
        <v>7361.5</v>
      </c>
      <c r="I32" s="45">
        <f>E32-'2'!B33</f>
        <v>7712.2999999999993</v>
      </c>
      <c r="J32" s="45"/>
      <c r="K32" s="13">
        <v>2009</v>
      </c>
      <c r="L32" s="45">
        <v>1571.3339999999998</v>
      </c>
      <c r="M32" s="45">
        <v>1571.3339999999998</v>
      </c>
      <c r="N32" s="45">
        <f t="shared" si="0"/>
        <v>1544.2779999999998</v>
      </c>
      <c r="O32" s="45">
        <v>1544.2779999999998</v>
      </c>
      <c r="P32" s="45">
        <f>L32-'2'!$F33</f>
        <v>-266717.66600000003</v>
      </c>
      <c r="Q32" s="45">
        <v>1303.0450000000001</v>
      </c>
      <c r="R32" s="45">
        <f>N32-'2'!$F33</f>
        <v>-266744.72200000001</v>
      </c>
      <c r="S32" s="45">
        <v>1275.989</v>
      </c>
      <c r="T32" s="23">
        <v>75.94</v>
      </c>
      <c r="V32" s="19">
        <f t="shared" si="1"/>
        <v>68</v>
      </c>
      <c r="W32" s="19">
        <f t="shared" si="2"/>
        <v>68</v>
      </c>
      <c r="X32" s="19">
        <f t="shared" si="3"/>
        <v>68</v>
      </c>
      <c r="Y32" s="19">
        <f t="shared" si="4"/>
        <v>-180.79999999999927</v>
      </c>
      <c r="AA32" s="4" t="e">
        <f>#REF!-#REF!</f>
        <v>#REF!</v>
      </c>
      <c r="AB32" s="4" t="e">
        <f>N12-#REF!</f>
        <v>#REF!</v>
      </c>
      <c r="AC32" s="4" t="e">
        <f>P12-#REF!</f>
        <v>#REF!</v>
      </c>
      <c r="AD32" s="4" t="e">
        <f>R12-#REF!</f>
        <v>#REF!</v>
      </c>
      <c r="AG32" s="42"/>
    </row>
    <row r="33" spans="1:33">
      <c r="A33" s="13">
        <v>1998</v>
      </c>
      <c r="B33" s="45">
        <v>9062.7999999999993</v>
      </c>
      <c r="C33" s="45">
        <v>9118.1</v>
      </c>
      <c r="D33" s="45">
        <v>9080.2000000000007</v>
      </c>
      <c r="E33" s="45">
        <v>9135.5</v>
      </c>
      <c r="F33" s="45">
        <v>7753.1</v>
      </c>
      <c r="G33" s="45">
        <v>7808.3</v>
      </c>
      <c r="H33" s="45">
        <v>7770.5</v>
      </c>
      <c r="I33" s="45">
        <f>E33-'2'!B34</f>
        <v>8194.1</v>
      </c>
      <c r="J33" s="45"/>
      <c r="K33" s="13">
        <v>2010</v>
      </c>
      <c r="L33" s="45">
        <v>1666.0470000000003</v>
      </c>
      <c r="M33" s="45">
        <v>1666.0470000000003</v>
      </c>
      <c r="N33" s="45">
        <f t="shared" si="0"/>
        <v>1633.1189999999999</v>
      </c>
      <c r="O33" s="45">
        <v>1633.1189999999999</v>
      </c>
      <c r="P33" s="45">
        <f>L33-'2'!$F34</f>
        <v>-267430.95299999998</v>
      </c>
      <c r="Q33" s="45">
        <v>1396.9499999999998</v>
      </c>
      <c r="R33" s="45">
        <f>N33-'2'!$F34</f>
        <v>-267463.88099999999</v>
      </c>
      <c r="S33" s="45">
        <v>1364.0220000000002</v>
      </c>
      <c r="T33" s="23">
        <v>82.244</v>
      </c>
      <c r="V33" s="19">
        <f t="shared" si="1"/>
        <v>95.5</v>
      </c>
      <c r="W33" s="19">
        <f t="shared" si="2"/>
        <v>95.5</v>
      </c>
      <c r="X33" s="19">
        <f t="shared" si="3"/>
        <v>95.5</v>
      </c>
      <c r="Y33" s="19">
        <f t="shared" si="4"/>
        <v>-197</v>
      </c>
      <c r="AA33" s="4" t="e">
        <f>#REF!-#REF!</f>
        <v>#REF!</v>
      </c>
      <c r="AB33" s="4" t="e">
        <f>N13-#REF!</f>
        <v>#REF!</v>
      </c>
      <c r="AC33" s="4" t="e">
        <f>P13-#REF!</f>
        <v>#REF!</v>
      </c>
      <c r="AD33" s="4" t="e">
        <f>R13-#REF!</f>
        <v>#REF!</v>
      </c>
      <c r="AG33" s="42"/>
    </row>
    <row r="34" spans="1:33">
      <c r="A34" s="13">
        <v>1999</v>
      </c>
      <c r="B34" s="45">
        <v>9630.7000000000007</v>
      </c>
      <c r="C34" s="45">
        <v>9663.7999999999993</v>
      </c>
      <c r="D34" s="45">
        <v>9656.2000000000007</v>
      </c>
      <c r="E34" s="45">
        <v>9689.4</v>
      </c>
      <c r="F34" s="45">
        <v>8231.7000000000007</v>
      </c>
      <c r="G34" s="45">
        <v>8264.9</v>
      </c>
      <c r="H34" s="45">
        <v>8257.2999999999993</v>
      </c>
      <c r="I34" s="45">
        <f>E34-'2'!B35</f>
        <v>8665.6</v>
      </c>
      <c r="J34" s="45"/>
      <c r="K34" s="13">
        <v>2011</v>
      </c>
      <c r="L34" s="45">
        <v>1774.0630000000001</v>
      </c>
      <c r="M34" s="45">
        <v>1774.0630000000001</v>
      </c>
      <c r="N34" s="45">
        <f t="shared" si="0"/>
        <v>1740.5540000000001</v>
      </c>
      <c r="O34" s="45">
        <v>1740.5540000000001</v>
      </c>
      <c r="P34" s="45">
        <f>L34-'2'!$F35</f>
        <v>-278285.93699999998</v>
      </c>
      <c r="Q34" s="45">
        <v>1494.0030000000002</v>
      </c>
      <c r="R34" s="45">
        <f>N34-'2'!$F35</f>
        <v>-278319.446</v>
      </c>
      <c r="S34" s="45">
        <v>1460.4939999999999</v>
      </c>
      <c r="T34" s="23">
        <v>85.906000000000006</v>
      </c>
      <c r="V34" s="19">
        <f t="shared" si="1"/>
        <v>92.900000000000546</v>
      </c>
      <c r="W34" s="19">
        <f t="shared" si="2"/>
        <v>92.899999999999636</v>
      </c>
      <c r="X34" s="19">
        <f t="shared" si="3"/>
        <v>92.899999999999636</v>
      </c>
      <c r="Y34" s="19">
        <f t="shared" si="4"/>
        <v>-227.89999999999964</v>
      </c>
      <c r="AA34" s="4" t="e">
        <f>#REF!-#REF!</f>
        <v>#REF!</v>
      </c>
      <c r="AB34" s="4" t="e">
        <f>N14-#REF!</f>
        <v>#REF!</v>
      </c>
      <c r="AC34" s="4" t="e">
        <f>P14-#REF!</f>
        <v>#REF!</v>
      </c>
      <c r="AD34" s="4" t="e">
        <f>R14-#REF!</f>
        <v>#REF!</v>
      </c>
      <c r="AG34" s="42"/>
    </row>
    <row r="35" spans="1:33">
      <c r="A35" s="13">
        <v>2000</v>
      </c>
      <c r="B35" s="45">
        <v>10252.299999999999</v>
      </c>
      <c r="C35" s="45">
        <v>10348.799999999999</v>
      </c>
      <c r="D35" s="45">
        <v>10287.4</v>
      </c>
      <c r="E35" s="45">
        <v>10383.9</v>
      </c>
      <c r="F35" s="45">
        <v>8741.1</v>
      </c>
      <c r="G35" s="45">
        <v>8837.6</v>
      </c>
      <c r="H35" s="45">
        <v>8776.1</v>
      </c>
      <c r="I35" s="45">
        <f>E35-'2'!B36</f>
        <v>9287.7999999999993</v>
      </c>
      <c r="J35" s="45"/>
      <c r="K35" s="13">
        <v>2012</v>
      </c>
      <c r="L35" s="45">
        <v>1827.2019999999998</v>
      </c>
      <c r="M35" s="45">
        <v>1827.2019999999998</v>
      </c>
      <c r="N35" s="45">
        <f t="shared" si="0"/>
        <v>1794.7800000000002</v>
      </c>
      <c r="O35" s="45">
        <v>1794.7800000000002</v>
      </c>
      <c r="P35" s="45">
        <f>L35-'2'!$F36</f>
        <v>-292280.79800000001</v>
      </c>
      <c r="Q35" s="45">
        <v>1533.0940000000001</v>
      </c>
      <c r="R35" s="45">
        <f>N35-'2'!$F36</f>
        <v>-292313.21999999997</v>
      </c>
      <c r="S35" s="45">
        <v>1500.672</v>
      </c>
      <c r="T35" s="23">
        <v>89.572999999999993</v>
      </c>
      <c r="V35" s="19">
        <f t="shared" si="1"/>
        <v>115.90000000000055</v>
      </c>
      <c r="W35" s="19">
        <f t="shared" si="2"/>
        <v>115.89999999999964</v>
      </c>
      <c r="X35" s="19">
        <f t="shared" si="3"/>
        <v>116</v>
      </c>
      <c r="Y35" s="19">
        <f t="shared" si="4"/>
        <v>-215.90000000000055</v>
      </c>
      <c r="AA35" s="4" t="e">
        <f>#REF!-#REF!</f>
        <v>#REF!</v>
      </c>
      <c r="AB35" s="4" t="e">
        <f>N15-#REF!</f>
        <v>#REF!</v>
      </c>
      <c r="AC35" s="4" t="e">
        <f>P15-#REF!</f>
        <v>#REF!</v>
      </c>
      <c r="AD35" s="4" t="e">
        <f>R15-#REF!</f>
        <v>#REF!</v>
      </c>
      <c r="AG35" s="42"/>
    </row>
    <row r="36" spans="1:33" s="42" customFormat="1">
      <c r="A36" s="13">
        <v>2001</v>
      </c>
      <c r="B36" s="45">
        <v>10581.8</v>
      </c>
      <c r="C36" s="45">
        <v>10695</v>
      </c>
      <c r="D36" s="45">
        <v>10630.6</v>
      </c>
      <c r="E36" s="45">
        <v>10743.7</v>
      </c>
      <c r="F36" s="45">
        <v>8982.2999999999993</v>
      </c>
      <c r="G36" s="45">
        <v>9095.4</v>
      </c>
      <c r="H36" s="45">
        <v>9031.1</v>
      </c>
      <c r="I36" s="45">
        <f>E36-'2'!B37</f>
        <v>9563.6</v>
      </c>
      <c r="J36" s="45"/>
      <c r="K36" s="13">
        <v>2013</v>
      </c>
      <c r="L36" s="45">
        <v>1902.2469999999998</v>
      </c>
      <c r="M36" s="45">
        <v>1902.2469999999998</v>
      </c>
      <c r="N36" s="45">
        <f t="shared" si="0"/>
        <v>1873.2749999999999</v>
      </c>
      <c r="O36" s="45">
        <v>1873.2749999999999</v>
      </c>
      <c r="P36" s="45">
        <f>L36-'2'!$F37</f>
        <v>-307073.75300000003</v>
      </c>
      <c r="Q36" s="45">
        <v>1593.271</v>
      </c>
      <c r="R36" s="45">
        <f>N36-'2'!$F37</f>
        <v>-307102.72499999998</v>
      </c>
      <c r="S36" s="45">
        <v>1564.299</v>
      </c>
      <c r="T36" s="143"/>
      <c r="V36" s="19"/>
      <c r="W36" s="19"/>
      <c r="X36" s="19"/>
      <c r="Y36" s="19"/>
      <c r="AA36" s="4"/>
      <c r="AB36" s="4"/>
      <c r="AC36" s="4"/>
      <c r="AD36" s="4"/>
    </row>
    <row r="37" spans="1:33">
      <c r="A37" s="13">
        <v>2002</v>
      </c>
      <c r="B37" s="45">
        <v>10936.4</v>
      </c>
      <c r="C37" s="45">
        <v>11009.1</v>
      </c>
      <c r="D37" s="45">
        <v>10981.7</v>
      </c>
      <c r="E37" s="45">
        <v>11054.3</v>
      </c>
      <c r="F37" s="45">
        <v>9278.4</v>
      </c>
      <c r="G37" s="45">
        <v>9351.1</v>
      </c>
      <c r="H37" s="45">
        <v>9323.7000000000007</v>
      </c>
      <c r="I37" s="45">
        <f>E37-'2'!B38</f>
        <v>9770.4</v>
      </c>
      <c r="J37" s="45"/>
      <c r="K37" s="201">
        <v>2014</v>
      </c>
      <c r="L37" s="45">
        <v>1994.8919999999998</v>
      </c>
      <c r="M37" s="45">
        <v>1994.8919999999998</v>
      </c>
      <c r="N37" s="45">
        <f t="shared" si="0"/>
        <v>1962.6569999999999</v>
      </c>
      <c r="O37" s="45">
        <v>1962.6569999999999</v>
      </c>
      <c r="P37" s="45">
        <f>L37-'2'!$F38</f>
        <v>-321213.10800000001</v>
      </c>
      <c r="Q37" s="45">
        <v>1671.6840000000002</v>
      </c>
      <c r="R37" s="45">
        <f>N37-'2'!$F38</f>
        <v>-321245.34299999999</v>
      </c>
      <c r="S37" s="45">
        <v>1639.4489999999998</v>
      </c>
      <c r="T37" s="23">
        <v>94.034999999999997</v>
      </c>
      <c r="V37" s="19">
        <f t="shared" ref="V37:V48" si="5">B28-C28</f>
        <v>156</v>
      </c>
      <c r="W37" s="19">
        <f t="shared" ref="W37:W48" si="6">D28-E28</f>
        <v>155.89999999999964</v>
      </c>
      <c r="X37" s="19">
        <f t="shared" ref="X37:X48" si="7">F28-G28</f>
        <v>156</v>
      </c>
      <c r="Y37" s="19">
        <f t="shared" ref="Y37:Y48" si="8">H28-I28</f>
        <v>-188.70000000000073</v>
      </c>
      <c r="AA37" s="4" t="e">
        <f>#REF!-#REF!</f>
        <v>#REF!</v>
      </c>
      <c r="AB37" s="4" t="e">
        <f>N16-#REF!</f>
        <v>#REF!</v>
      </c>
      <c r="AC37" s="4" t="e">
        <f>P16-#REF!</f>
        <v>#REF!</v>
      </c>
      <c r="AD37" s="4" t="e">
        <f>R16-#REF!</f>
        <v>#REF!</v>
      </c>
      <c r="AE37" s="42"/>
      <c r="AG37" s="42"/>
    </row>
    <row r="38" spans="1:33">
      <c r="A38" s="13">
        <v>2003</v>
      </c>
      <c r="B38" s="45">
        <v>11458.2</v>
      </c>
      <c r="C38" s="45">
        <v>11471.9</v>
      </c>
      <c r="D38" s="45">
        <v>11516.6</v>
      </c>
      <c r="E38" s="45">
        <v>11530.3</v>
      </c>
      <c r="F38" s="45">
        <v>9739.2000000000007</v>
      </c>
      <c r="G38" s="45">
        <v>9752.7999999999993</v>
      </c>
      <c r="H38" s="45">
        <v>9797.5</v>
      </c>
      <c r="I38" s="45">
        <f>E38-'2'!B39</f>
        <v>10226.799999999999</v>
      </c>
      <c r="J38" s="45"/>
      <c r="K38" s="201">
        <v>2015</v>
      </c>
      <c r="L38" s="45">
        <v>1990.4389999999999</v>
      </c>
      <c r="M38" s="45">
        <v>1990.4389999999999</v>
      </c>
      <c r="N38" s="45">
        <f t="shared" si="0"/>
        <v>1959.9470000000001</v>
      </c>
      <c r="O38" s="45">
        <v>1959.9470000000001</v>
      </c>
      <c r="P38" s="45">
        <f>L38-'2'!$F39</f>
        <v>-340332.56099999999</v>
      </c>
      <c r="Q38" s="45">
        <v>1648.1160000000002</v>
      </c>
      <c r="R38" s="45">
        <f>N38-'2'!$F39</f>
        <v>-340363.05300000001</v>
      </c>
      <c r="S38" s="45">
        <v>1617.624</v>
      </c>
      <c r="T38" s="23">
        <v>99.631</v>
      </c>
      <c r="V38" s="19">
        <f t="shared" si="5"/>
        <v>139.89999999999964</v>
      </c>
      <c r="W38" s="19">
        <f t="shared" si="6"/>
        <v>139.89999999999964</v>
      </c>
      <c r="X38" s="19">
        <f t="shared" si="7"/>
        <v>139.90000000000055</v>
      </c>
      <c r="Y38" s="19">
        <f t="shared" si="8"/>
        <v>-214.09999999999945</v>
      </c>
      <c r="AA38" s="4" t="e">
        <f>#REF!-#REF!</f>
        <v>#REF!</v>
      </c>
      <c r="AB38" s="4" t="e">
        <f>N17-#REF!</f>
        <v>#REF!</v>
      </c>
      <c r="AC38" s="4" t="e">
        <f>P17-#REF!</f>
        <v>#REF!</v>
      </c>
      <c r="AD38" s="4" t="e">
        <f>R17-#REF!</f>
        <v>#REF!</v>
      </c>
      <c r="AE38" s="42"/>
    </row>
    <row r="39" spans="1:33">
      <c r="A39" s="13">
        <v>2004</v>
      </c>
      <c r="B39" s="45">
        <v>12213.7</v>
      </c>
      <c r="C39" s="45">
        <v>12235.8</v>
      </c>
      <c r="D39" s="45">
        <v>12291.9</v>
      </c>
      <c r="E39" s="45">
        <v>12314</v>
      </c>
      <c r="F39" s="45">
        <v>10391.9</v>
      </c>
      <c r="G39" s="45">
        <v>10414</v>
      </c>
      <c r="H39" s="45">
        <v>10470.1</v>
      </c>
      <c r="I39" s="45">
        <f>E39-'2'!B40</f>
        <v>10982</v>
      </c>
      <c r="J39" s="45"/>
      <c r="K39" s="201">
        <v>2016</v>
      </c>
      <c r="L39" s="45">
        <v>2028.223</v>
      </c>
      <c r="M39" s="45">
        <v>2028.223</v>
      </c>
      <c r="N39" s="45">
        <f t="shared" si="0"/>
        <v>2003.8040000000001</v>
      </c>
      <c r="O39" s="45">
        <v>2003.8040000000001</v>
      </c>
      <c r="P39" s="45">
        <f>L39-'2'!$F40</f>
        <v>-349957.777</v>
      </c>
      <c r="Q39" s="45">
        <v>1676.2370000000001</v>
      </c>
      <c r="R39" s="45">
        <f>N39-'2'!$F40</f>
        <v>-349982.196</v>
      </c>
      <c r="S39" s="45">
        <v>1651.8180000000002</v>
      </c>
      <c r="T39" s="23">
        <v>105.021</v>
      </c>
      <c r="V39" s="19">
        <f t="shared" si="5"/>
        <v>93</v>
      </c>
      <c r="W39" s="19">
        <f t="shared" si="6"/>
        <v>93</v>
      </c>
      <c r="X39" s="19">
        <f t="shared" si="7"/>
        <v>93</v>
      </c>
      <c r="Y39" s="19">
        <f t="shared" si="8"/>
        <v>-275.5</v>
      </c>
      <c r="AA39" s="4" t="e">
        <f>#REF!-#REF!</f>
        <v>#REF!</v>
      </c>
      <c r="AB39" s="4" t="e">
        <f>N18-#REF!</f>
        <v>#REF!</v>
      </c>
      <c r="AC39" s="4" t="e">
        <f>P18-#REF!</f>
        <v>#REF!</v>
      </c>
      <c r="AD39" s="4" t="e">
        <f>R18-#REF!</f>
        <v>#REF!</v>
      </c>
    </row>
    <row r="40" spans="1:33">
      <c r="A40" s="13">
        <v>2005</v>
      </c>
      <c r="B40" s="45">
        <v>13036.6</v>
      </c>
      <c r="C40" s="45">
        <v>13091.7</v>
      </c>
      <c r="D40" s="45">
        <v>13114.6</v>
      </c>
      <c r="E40" s="45">
        <v>13169.7</v>
      </c>
      <c r="F40" s="45">
        <v>11065.6</v>
      </c>
      <c r="G40" s="45">
        <v>11120.7</v>
      </c>
      <c r="H40" s="45">
        <v>11143.6</v>
      </c>
      <c r="I40" s="45">
        <f>E40-'2'!B41</f>
        <v>12000.2</v>
      </c>
      <c r="J40" s="45"/>
      <c r="K40" s="201">
        <v>2017</v>
      </c>
      <c r="L40" s="45">
        <v>2141.5079999999998</v>
      </c>
      <c r="M40" s="45">
        <v>2141.5079999999998</v>
      </c>
      <c r="N40" s="45">
        <f t="shared" si="0"/>
        <v>2118.3879999999999</v>
      </c>
      <c r="O40" s="45">
        <v>2118.3879999999999</v>
      </c>
      <c r="P40" s="45">
        <f>L40-'2'!$F41</f>
        <v>-352061.49200000003</v>
      </c>
      <c r="Q40" s="45">
        <v>1787.3050000000003</v>
      </c>
      <c r="R40" s="45">
        <f>N40-'2'!$F41</f>
        <v>-352084.61200000002</v>
      </c>
      <c r="S40" s="45">
        <v>1764.1849999999999</v>
      </c>
      <c r="T40" s="23">
        <v>110.818</v>
      </c>
      <c r="V40" s="19">
        <f t="shared" si="5"/>
        <v>58.100000000000364</v>
      </c>
      <c r="W40" s="19">
        <f t="shared" si="6"/>
        <v>58.100000000000364</v>
      </c>
      <c r="X40" s="19">
        <f t="shared" si="7"/>
        <v>58.100000000000364</v>
      </c>
      <c r="Y40" s="19">
        <f t="shared" si="8"/>
        <v>-308.89999999999964</v>
      </c>
      <c r="AA40" s="4" t="e">
        <f>#REF!-#REF!</f>
        <v>#REF!</v>
      </c>
      <c r="AB40" s="4" t="e">
        <f>N19-#REF!</f>
        <v>#REF!</v>
      </c>
      <c r="AC40" s="4" t="e">
        <f>P19-#REF!</f>
        <v>#REF!</v>
      </c>
      <c r="AD40" s="4" t="e">
        <f>R19-#REF!</f>
        <v>#REF!</v>
      </c>
    </row>
    <row r="41" spans="1:33">
      <c r="A41" s="13">
        <v>2006</v>
      </c>
      <c r="B41" s="45">
        <v>13814.6</v>
      </c>
      <c r="C41" s="45">
        <v>14022.5</v>
      </c>
      <c r="D41" s="45">
        <v>13865.1</v>
      </c>
      <c r="E41" s="45">
        <v>14073</v>
      </c>
      <c r="F41" s="45">
        <v>11690.5</v>
      </c>
      <c r="G41" s="45">
        <v>11898.4</v>
      </c>
      <c r="H41" s="45">
        <v>11740.9</v>
      </c>
      <c r="I41" s="45">
        <f>E41-'2'!B42</f>
        <v>12827.9</v>
      </c>
      <c r="J41" s="45"/>
      <c r="K41" s="201">
        <v>2018</v>
      </c>
      <c r="L41" s="45">
        <v>2219.0609999999997</v>
      </c>
      <c r="M41" s="45">
        <v>2219.0609999999997</v>
      </c>
      <c r="N41" s="45">
        <f t="shared" si="0"/>
        <v>2190.5160000000001</v>
      </c>
      <c r="O41" s="45">
        <v>2190.5160000000001</v>
      </c>
      <c r="P41" s="45">
        <f>L41-'2'!$F42</f>
        <v>-365010.93900000001</v>
      </c>
      <c r="Q41" s="45">
        <v>1851.8310000000001</v>
      </c>
      <c r="R41" s="45">
        <f>N41-'2'!$F42</f>
        <v>-365039.484</v>
      </c>
      <c r="S41" s="45">
        <v>1823.2860000000001</v>
      </c>
      <c r="T41" s="23">
        <v>116.574</v>
      </c>
      <c r="V41" s="19">
        <f t="shared" si="5"/>
        <v>11.600000000000364</v>
      </c>
      <c r="W41" s="19">
        <f t="shared" si="6"/>
        <v>11.600000000000364</v>
      </c>
      <c r="X41" s="19">
        <f t="shared" si="7"/>
        <v>11.599999999999454</v>
      </c>
      <c r="Y41" s="19">
        <f t="shared" si="8"/>
        <v>-350.79999999999927</v>
      </c>
      <c r="AA41" s="4" t="e">
        <f>#REF!-#REF!</f>
        <v>#REF!</v>
      </c>
      <c r="AB41" s="4" t="e">
        <f>N20-#REF!</f>
        <v>#REF!</v>
      </c>
      <c r="AC41" s="4" t="e">
        <f>P20-#REF!</f>
        <v>#REF!</v>
      </c>
      <c r="AD41" s="4" t="e">
        <f>R20-#REF!</f>
        <v>#REF!</v>
      </c>
    </row>
    <row r="42" spans="1:33">
      <c r="A42" s="13">
        <v>2007</v>
      </c>
      <c r="B42" s="45">
        <v>14451.9</v>
      </c>
      <c r="C42" s="45">
        <v>14434.2</v>
      </c>
      <c r="D42" s="45">
        <v>14560.9</v>
      </c>
      <c r="E42" s="45">
        <v>14543.2</v>
      </c>
      <c r="F42" s="45">
        <v>12199.1</v>
      </c>
      <c r="G42" s="45">
        <v>12181.4</v>
      </c>
      <c r="H42" s="45">
        <v>12308.1</v>
      </c>
      <c r="I42" s="45">
        <f>E42-'2'!B43</f>
        <v>13216.400000000001</v>
      </c>
      <c r="J42" s="45"/>
      <c r="T42" s="23">
        <v>122.65900000000001</v>
      </c>
      <c r="V42" s="19">
        <f t="shared" si="5"/>
        <v>-55.300000000001091</v>
      </c>
      <c r="W42" s="19">
        <f t="shared" si="6"/>
        <v>-55.299999999999272</v>
      </c>
      <c r="X42" s="19">
        <f t="shared" si="7"/>
        <v>-55.199999999999818</v>
      </c>
      <c r="Y42" s="19">
        <f t="shared" si="8"/>
        <v>-423.60000000000036</v>
      </c>
      <c r="AA42" s="4" t="e">
        <f>#REF!-#REF!</f>
        <v>#REF!</v>
      </c>
      <c r="AB42" s="4" t="e">
        <f>N21-#REF!</f>
        <v>#REF!</v>
      </c>
      <c r="AC42" s="4" t="e">
        <f>P21-#REF!</f>
        <v>#REF!</v>
      </c>
      <c r="AD42" s="4" t="e">
        <f>R21-#REF!</f>
        <v>#REF!</v>
      </c>
    </row>
    <row r="43" spans="1:33">
      <c r="A43" s="13">
        <v>2008</v>
      </c>
      <c r="B43" s="45">
        <v>14712.8</v>
      </c>
      <c r="C43" s="45">
        <v>14530</v>
      </c>
      <c r="D43" s="45">
        <v>14867.5</v>
      </c>
      <c r="E43" s="45">
        <v>14684.6</v>
      </c>
      <c r="F43" s="45">
        <v>12354</v>
      </c>
      <c r="G43" s="45">
        <v>12171.2</v>
      </c>
      <c r="H43" s="45">
        <v>12508.6</v>
      </c>
      <c r="I43" s="45">
        <f>E43-'2'!B44</f>
        <v>13100.5</v>
      </c>
      <c r="J43" s="45"/>
      <c r="T43" s="23">
        <v>128.999</v>
      </c>
      <c r="V43" s="19">
        <f t="shared" si="5"/>
        <v>-33.099999999998545</v>
      </c>
      <c r="W43" s="19">
        <f t="shared" si="6"/>
        <v>-33.199999999998909</v>
      </c>
      <c r="X43" s="19">
        <f t="shared" si="7"/>
        <v>-33.199999999998909</v>
      </c>
      <c r="Y43" s="19">
        <f t="shared" si="8"/>
        <v>-408.30000000000109</v>
      </c>
      <c r="AA43" s="4" t="e">
        <f>#REF!-#REF!</f>
        <v>#REF!</v>
      </c>
      <c r="AB43" s="4" t="e">
        <f>N22-#REF!</f>
        <v>#REF!</v>
      </c>
      <c r="AC43" s="4" t="e">
        <f>P22-#REF!</f>
        <v>#REF!</v>
      </c>
      <c r="AD43" s="4" t="e">
        <f>R22-#REF!</f>
        <v>#REF!</v>
      </c>
    </row>
    <row r="44" spans="1:33">
      <c r="A44" s="13">
        <v>2009</v>
      </c>
      <c r="B44" s="45">
        <v>14448.9</v>
      </c>
      <c r="C44" s="45">
        <v>14256.8</v>
      </c>
      <c r="D44" s="45">
        <v>14590.9</v>
      </c>
      <c r="E44" s="45">
        <v>14398.7</v>
      </c>
      <c r="F44" s="45">
        <v>12077.5</v>
      </c>
      <c r="G44" s="45">
        <v>11885.3</v>
      </c>
      <c r="H44" s="45">
        <v>12219.4</v>
      </c>
      <c r="I44" s="45">
        <f>E44-'2'!B45</f>
        <v>12836.6</v>
      </c>
      <c r="J44" s="45"/>
      <c r="K44" s="5" t="s">
        <v>141</v>
      </c>
      <c r="L44" s="42"/>
      <c r="M44" s="4"/>
      <c r="N44" s="42"/>
      <c r="O44" s="42"/>
      <c r="P44" s="42"/>
      <c r="Q44" s="42"/>
      <c r="R44" s="42"/>
      <c r="S44" s="9"/>
      <c r="T44" s="23">
        <v>137.42500000000001</v>
      </c>
      <c r="V44" s="19">
        <f t="shared" si="5"/>
        <v>-96.5</v>
      </c>
      <c r="W44" s="19">
        <f t="shared" si="6"/>
        <v>-96.5</v>
      </c>
      <c r="X44" s="19">
        <f t="shared" si="7"/>
        <v>-96.5</v>
      </c>
      <c r="Y44" s="19">
        <f t="shared" si="8"/>
        <v>-511.69999999999891</v>
      </c>
      <c r="AA44" s="4" t="e">
        <f>#REF!-#REF!</f>
        <v>#REF!</v>
      </c>
      <c r="AB44" s="4" t="e">
        <f>N23-#REF!</f>
        <v>#REF!</v>
      </c>
      <c r="AC44" s="4" t="e">
        <f>P23-#REF!</f>
        <v>#REF!</v>
      </c>
      <c r="AD44" s="4" t="e">
        <f>R23-#REF!</f>
        <v>#REF!</v>
      </c>
    </row>
    <row r="45" spans="1:33">
      <c r="A45" s="13">
        <v>2010</v>
      </c>
      <c r="B45" s="45">
        <v>14992.1</v>
      </c>
      <c r="C45" s="45">
        <v>14931</v>
      </c>
      <c r="D45" s="45">
        <v>15187.8</v>
      </c>
      <c r="E45" s="45">
        <v>15126.7</v>
      </c>
      <c r="F45" s="45">
        <v>12601.1</v>
      </c>
      <c r="G45" s="45">
        <v>12540.1</v>
      </c>
      <c r="H45" s="45">
        <v>12796.8</v>
      </c>
      <c r="I45" s="45">
        <f>E45-'2'!B46</f>
        <v>13520.800000000001</v>
      </c>
      <c r="J45" s="45"/>
      <c r="K45" s="66" t="s">
        <v>138</v>
      </c>
      <c r="L45" s="57">
        <f t="shared" ref="L45:S45" si="9">((L12/L4)^(1/8)-1)*100</f>
        <v>7.7960500193295923</v>
      </c>
      <c r="M45" s="57">
        <f t="shared" si="9"/>
        <v>7.7960500193295923</v>
      </c>
      <c r="N45" s="57">
        <f t="shared" si="9"/>
        <v>7.7822144861425135</v>
      </c>
      <c r="O45" s="57">
        <f t="shared" si="9"/>
        <v>7.7822144861425135</v>
      </c>
      <c r="P45" s="57">
        <f t="shared" si="9"/>
        <v>7.0793452401060053</v>
      </c>
      <c r="Q45" s="57">
        <f t="shared" si="9"/>
        <v>7.9247606494920575</v>
      </c>
      <c r="R45" s="57">
        <f t="shared" si="9"/>
        <v>7.0795925601723653</v>
      </c>
      <c r="S45" s="58">
        <f t="shared" si="9"/>
        <v>7.9136740008667106</v>
      </c>
      <c r="T45" s="23">
        <v>147.536</v>
      </c>
      <c r="V45" s="19">
        <f t="shared" si="5"/>
        <v>-113.20000000000073</v>
      </c>
      <c r="W45" s="19">
        <f t="shared" si="6"/>
        <v>-113.10000000000036</v>
      </c>
      <c r="X45" s="19">
        <f t="shared" si="7"/>
        <v>-113.10000000000036</v>
      </c>
      <c r="Y45" s="19">
        <f t="shared" si="8"/>
        <v>-532.5</v>
      </c>
      <c r="AA45" s="4" t="e">
        <f>#REF!-#REF!</f>
        <v>#REF!</v>
      </c>
      <c r="AB45" s="4" t="e">
        <f>N24-#REF!</f>
        <v>#REF!</v>
      </c>
      <c r="AC45" s="4" t="e">
        <f>P24-#REF!</f>
        <v>#REF!</v>
      </c>
      <c r="AD45" s="4" t="e">
        <f>R24-#REF!</f>
        <v>#REF!</v>
      </c>
    </row>
    <row r="46" spans="1:33">
      <c r="A46" s="13">
        <v>2011</v>
      </c>
      <c r="B46" s="45">
        <v>15542.6</v>
      </c>
      <c r="C46" s="45">
        <v>15595.8</v>
      </c>
      <c r="D46" s="45">
        <v>15779</v>
      </c>
      <c r="E46" s="45">
        <v>15832.2</v>
      </c>
      <c r="F46" s="45">
        <v>13068.1</v>
      </c>
      <c r="G46" s="45">
        <v>13121.4</v>
      </c>
      <c r="H46" s="45">
        <v>13304.5</v>
      </c>
      <c r="I46" s="45">
        <f>E46-'2'!B47</f>
        <v>14000.900000000001</v>
      </c>
      <c r="J46" s="45"/>
      <c r="K46" s="67" t="s">
        <v>27</v>
      </c>
      <c r="L46" s="10">
        <f t="shared" ref="L46:S46" si="10">100*((L23/L12)^(1/11)-1)</f>
        <v>4.6403045933477882</v>
      </c>
      <c r="M46" s="10">
        <f t="shared" si="10"/>
        <v>4.6403045933477882</v>
      </c>
      <c r="N46" s="10">
        <f t="shared" si="10"/>
        <v>4.7202444109424757</v>
      </c>
      <c r="O46" s="10">
        <f t="shared" si="10"/>
        <v>4.7202444109424757</v>
      </c>
      <c r="P46" s="10">
        <f t="shared" si="10"/>
        <v>4.6869235185176272</v>
      </c>
      <c r="Q46" s="10">
        <f t="shared" si="10"/>
        <v>4.6322033109222671</v>
      </c>
      <c r="R46" s="10">
        <f t="shared" si="10"/>
        <v>4.6863900472847497</v>
      </c>
      <c r="S46" s="11">
        <f t="shared" si="10"/>
        <v>4.7263488460312475</v>
      </c>
      <c r="T46" s="23">
        <v>155.56700000000001</v>
      </c>
      <c r="V46" s="19">
        <f t="shared" si="5"/>
        <v>-72.700000000000728</v>
      </c>
      <c r="W46" s="19">
        <f t="shared" si="6"/>
        <v>-72.599999999998545</v>
      </c>
      <c r="X46" s="19">
        <f t="shared" si="7"/>
        <v>-72.700000000000728</v>
      </c>
      <c r="Y46" s="19">
        <f t="shared" si="8"/>
        <v>-446.69999999999891</v>
      </c>
      <c r="AA46" s="4" t="e">
        <f>#REF!-#REF!</f>
        <v>#REF!</v>
      </c>
      <c r="AB46" s="4" t="e">
        <f>N25-#REF!</f>
        <v>#REF!</v>
      </c>
      <c r="AC46" s="4" t="e">
        <f>P25-#REF!</f>
        <v>#REF!</v>
      </c>
      <c r="AD46" s="4" t="e">
        <f>R25-#REF!</f>
        <v>#REF!</v>
      </c>
    </row>
    <row r="47" spans="1:33">
      <c r="A47" s="13">
        <v>2012</v>
      </c>
      <c r="B47" s="45">
        <v>16197</v>
      </c>
      <c r="C47" s="45">
        <v>16438.400000000001</v>
      </c>
      <c r="D47" s="45">
        <v>16429.3</v>
      </c>
      <c r="E47" s="45">
        <v>16670.7</v>
      </c>
      <c r="F47" s="45">
        <v>13621</v>
      </c>
      <c r="G47" s="45">
        <v>13862.4</v>
      </c>
      <c r="H47" s="45">
        <v>13853.3</v>
      </c>
      <c r="I47" s="45">
        <f>E47-'2'!B48</f>
        <v>15004.800000000001</v>
      </c>
      <c r="J47" s="45"/>
      <c r="K47" s="67" t="s">
        <v>28</v>
      </c>
      <c r="L47" s="10">
        <f t="shared" ref="L47:S47" si="11">100*((L31/L23)^(1/8)-1)</f>
        <v>5.182721313758254</v>
      </c>
      <c r="M47" s="10">
        <f t="shared" si="11"/>
        <v>5.182721313758254</v>
      </c>
      <c r="N47" s="10">
        <f t="shared" si="11"/>
        <v>5.3378106748289245</v>
      </c>
      <c r="O47" s="10">
        <f t="shared" si="11"/>
        <v>5.3378106748289245</v>
      </c>
      <c r="P47" s="10">
        <f t="shared" si="11"/>
        <v>5.6698302347303109</v>
      </c>
      <c r="Q47" s="10">
        <f t="shared" si="11"/>
        <v>5.096169220087754</v>
      </c>
      <c r="R47" s="10">
        <f t="shared" si="11"/>
        <v>5.6687545223371272</v>
      </c>
      <c r="S47" s="11">
        <f t="shared" si="11"/>
        <v>5.27749363644332</v>
      </c>
      <c r="T47" s="23">
        <v>161.81700000000001</v>
      </c>
      <c r="V47" s="19">
        <f t="shared" si="5"/>
        <v>-13.699999999998909</v>
      </c>
      <c r="W47" s="19">
        <f t="shared" si="6"/>
        <v>-13.699999999998909</v>
      </c>
      <c r="X47" s="19">
        <f t="shared" si="7"/>
        <v>-13.599999999998545</v>
      </c>
      <c r="Y47" s="19">
        <f t="shared" si="8"/>
        <v>-429.29999999999927</v>
      </c>
      <c r="AA47" s="4" t="e">
        <f>#REF!-#REF!</f>
        <v>#REF!</v>
      </c>
      <c r="AB47" s="4" t="e">
        <f>N26-#REF!</f>
        <v>#REF!</v>
      </c>
      <c r="AC47" s="4" t="e">
        <f>P26-#REF!</f>
        <v>#REF!</v>
      </c>
      <c r="AD47" s="4" t="e">
        <f>R26-#REF!</f>
        <v>#REF!</v>
      </c>
    </row>
    <row r="48" spans="1:33">
      <c r="A48" s="13">
        <v>2013</v>
      </c>
      <c r="B48" s="45">
        <v>16784.900000000001</v>
      </c>
      <c r="C48" s="45">
        <v>16945.2</v>
      </c>
      <c r="D48" s="45">
        <v>17015.599999999999</v>
      </c>
      <c r="E48" s="45">
        <v>17175.900000000001</v>
      </c>
      <c r="F48" s="45">
        <v>14103.6</v>
      </c>
      <c r="G48" s="45">
        <v>14263.9</v>
      </c>
      <c r="H48" s="45">
        <v>14334.4</v>
      </c>
      <c r="I48" s="45">
        <f>E48-'2'!B49</f>
        <v>15422.300000000001</v>
      </c>
      <c r="J48" s="45"/>
      <c r="K48" s="68" t="s">
        <v>152</v>
      </c>
      <c r="L48" s="59">
        <f t="shared" ref="L48:S48" si="12">100*((L31/L4)^(1/27)-1)</f>
        <v>5.7274273486877414</v>
      </c>
      <c r="M48" s="59">
        <f t="shared" si="12"/>
        <v>5.7274273486877414</v>
      </c>
      <c r="N48" s="59">
        <f t="shared" si="12"/>
        <v>5.8024831908916275</v>
      </c>
      <c r="O48" s="59">
        <f t="shared" si="12"/>
        <v>5.8024831908916275</v>
      </c>
      <c r="P48" s="59">
        <f t="shared" si="12"/>
        <v>5.6823866940821866</v>
      </c>
      <c r="Q48" s="59">
        <f t="shared" si="12"/>
        <v>5.7356865712364868</v>
      </c>
      <c r="R48" s="59">
        <f t="shared" si="12"/>
        <v>5.6819208425703538</v>
      </c>
      <c r="S48" s="60">
        <f t="shared" si="12"/>
        <v>5.8252547906801455</v>
      </c>
      <c r="T48" s="23">
        <v>167.82300000000001</v>
      </c>
      <c r="V48" s="19">
        <f t="shared" si="5"/>
        <v>-22.099999999998545</v>
      </c>
      <c r="W48" s="19">
        <f t="shared" si="6"/>
        <v>-22.100000000000364</v>
      </c>
      <c r="X48" s="19">
        <f t="shared" si="7"/>
        <v>-22.100000000000364</v>
      </c>
      <c r="Y48" s="19">
        <f t="shared" si="8"/>
        <v>-511.89999999999964</v>
      </c>
      <c r="AA48" s="4" t="e">
        <f>#REF!-#REF!</f>
        <v>#REF!</v>
      </c>
      <c r="AB48" s="4" t="e">
        <f>N27-#REF!</f>
        <v>#REF!</v>
      </c>
      <c r="AC48" s="4" t="e">
        <f>P27-#REF!</f>
        <v>#REF!</v>
      </c>
      <c r="AD48" s="4" t="e">
        <f>R27-#REF!</f>
        <v>#REF!</v>
      </c>
    </row>
    <row r="49" spans="1:33" s="42" customFormat="1">
      <c r="A49" s="13">
        <v>2014</v>
      </c>
      <c r="B49" s="45">
        <v>17521.7</v>
      </c>
      <c r="C49" s="45">
        <v>17820.8</v>
      </c>
      <c r="D49" s="45">
        <v>17763.400000000001</v>
      </c>
      <c r="E49" s="45">
        <v>18062.400000000001</v>
      </c>
      <c r="F49" s="45">
        <v>14704.8</v>
      </c>
      <c r="G49" s="45">
        <v>15003.8</v>
      </c>
      <c r="H49" s="45">
        <v>14946.5</v>
      </c>
      <c r="I49" s="45">
        <f>E49-'2'!B49</f>
        <v>16308.800000000001</v>
      </c>
      <c r="J49" s="45"/>
      <c r="K49" s="15"/>
      <c r="L49" s="23"/>
      <c r="M49" s="23"/>
      <c r="N49" s="23"/>
      <c r="O49" s="23"/>
      <c r="P49" s="23"/>
      <c r="Q49" s="23"/>
      <c r="R49" s="23"/>
      <c r="S49" s="23"/>
      <c r="T49" s="143"/>
      <c r="V49" s="19"/>
      <c r="W49" s="19"/>
      <c r="X49" s="19"/>
      <c r="Y49" s="19"/>
      <c r="AA49" s="4"/>
      <c r="AB49" s="4"/>
      <c r="AC49" s="4"/>
      <c r="AD49" s="4"/>
    </row>
    <row r="50" spans="1:33" s="42" customFormat="1">
      <c r="A50" s="13">
        <v>2015</v>
      </c>
      <c r="B50" s="45">
        <v>18219.3</v>
      </c>
      <c r="C50" s="45">
        <v>18474.2</v>
      </c>
      <c r="D50" s="45">
        <v>18445.5</v>
      </c>
      <c r="E50" s="45">
        <v>18700.5</v>
      </c>
      <c r="F50" s="45">
        <v>15301.8</v>
      </c>
      <c r="G50" s="45">
        <v>15556.8</v>
      </c>
      <c r="H50" s="45">
        <v>15528.1</v>
      </c>
      <c r="I50" s="45">
        <f>E50-'2'!B50</f>
        <v>16834.400000000001</v>
      </c>
      <c r="J50" s="45"/>
      <c r="K50" s="69" t="s">
        <v>142</v>
      </c>
      <c r="L50" s="10"/>
      <c r="M50" s="10"/>
      <c r="N50" s="10"/>
      <c r="O50" s="10"/>
      <c r="P50" s="10"/>
      <c r="Q50" s="10"/>
      <c r="R50" s="10"/>
      <c r="S50" s="10"/>
      <c r="T50" s="140"/>
      <c r="V50" s="19"/>
      <c r="W50" s="19"/>
      <c r="X50" s="19"/>
      <c r="Y50" s="19"/>
      <c r="AA50" s="4"/>
      <c r="AB50" s="4"/>
      <c r="AC50" s="4"/>
      <c r="AD50" s="4"/>
    </row>
    <row r="51" spans="1:33" s="42" customFormat="1">
      <c r="A51" s="13">
        <v>2016</v>
      </c>
      <c r="B51" s="45">
        <v>18707.2</v>
      </c>
      <c r="C51" s="45">
        <v>18834.099999999999</v>
      </c>
      <c r="D51" s="45">
        <v>18922.5</v>
      </c>
      <c r="E51" s="45">
        <v>19049.400000000001</v>
      </c>
      <c r="F51" s="45">
        <v>15716.7</v>
      </c>
      <c r="G51" s="45">
        <v>15843.6</v>
      </c>
      <c r="H51" s="45">
        <v>15932</v>
      </c>
      <c r="I51" s="45">
        <f>E51-'2'!B51</f>
        <v>17068.300000000003</v>
      </c>
      <c r="J51" s="45"/>
      <c r="K51" s="66" t="s">
        <v>202</v>
      </c>
      <c r="L51" s="72">
        <f>100*((L41/L4)^(1/37)-1)</f>
        <v>4.9732034215641985</v>
      </c>
      <c r="M51" s="72">
        <f t="shared" ref="M51:S51" si="13">100*((M41/M4)^(1/37)-1)</f>
        <v>4.9732034215641985</v>
      </c>
      <c r="N51" s="72">
        <f t="shared" si="13"/>
        <v>5.0328421084418373</v>
      </c>
      <c r="O51" s="72">
        <f t="shared" si="13"/>
        <v>5.0328421084418373</v>
      </c>
      <c r="P51" s="72">
        <f t="shared" si="13"/>
        <v>5.1298159675575272</v>
      </c>
      <c r="Q51" s="72">
        <f t="shared" si="13"/>
        <v>4.9433540096251782</v>
      </c>
      <c r="R51" s="72">
        <f t="shared" si="13"/>
        <v>5.1294287156981477</v>
      </c>
      <c r="S51" s="72">
        <f t="shared" si="13"/>
        <v>5.0139034367712165</v>
      </c>
      <c r="T51" s="154"/>
      <c r="V51" s="19"/>
      <c r="W51" s="19"/>
      <c r="X51" s="19"/>
      <c r="Y51" s="19"/>
      <c r="AA51" s="4"/>
      <c r="AB51" s="4"/>
      <c r="AC51" s="4"/>
      <c r="AD51" s="4"/>
    </row>
    <row r="52" spans="1:33" s="42" customFormat="1">
      <c r="A52" s="13">
        <v>2017</v>
      </c>
      <c r="B52" s="45">
        <v>19485.400000000001</v>
      </c>
      <c r="C52" s="45">
        <v>19628.599999999999</v>
      </c>
      <c r="D52" s="45">
        <v>19729.099999999999</v>
      </c>
      <c r="E52" s="45">
        <v>19872.2</v>
      </c>
      <c r="F52" s="45">
        <v>16369.2</v>
      </c>
      <c r="G52" s="45">
        <v>16512.400000000001</v>
      </c>
      <c r="H52" s="45">
        <v>16612.900000000001</v>
      </c>
      <c r="I52" s="45">
        <f>E52-'2'!B52</f>
        <v>17787.3</v>
      </c>
      <c r="J52" s="45"/>
      <c r="K52" s="142" t="s">
        <v>200</v>
      </c>
      <c r="L52" s="73">
        <f>100*((L41/L23)^(1/18)-1)</f>
        <v>3.9440171375062949</v>
      </c>
      <c r="M52" s="73">
        <f t="shared" ref="M52:S52" si="14">100*((M41/M23)^(1/18)-1)</f>
        <v>3.9440171375062949</v>
      </c>
      <c r="N52" s="73">
        <f t="shared" si="14"/>
        <v>4.0228225016276431</v>
      </c>
      <c r="O52" s="73">
        <f t="shared" si="14"/>
        <v>4.0228225016276431</v>
      </c>
      <c r="P52" s="73">
        <f t="shared" si="14"/>
        <v>4.5441599391802256</v>
      </c>
      <c r="Q52" s="73">
        <f t="shared" si="14"/>
        <v>3.8331025452442047</v>
      </c>
      <c r="R52" s="73">
        <f t="shared" si="14"/>
        <v>4.5435866050063556</v>
      </c>
      <c r="S52" s="73">
        <f t="shared" si="14"/>
        <v>3.9242508808666976</v>
      </c>
      <c r="T52" s="154"/>
      <c r="V52" s="19"/>
      <c r="W52" s="19"/>
      <c r="X52" s="19"/>
      <c r="Y52" s="19"/>
      <c r="AA52" s="4"/>
      <c r="AB52" s="4"/>
      <c r="AC52" s="4"/>
      <c r="AD52" s="4"/>
    </row>
    <row r="53" spans="1:33" s="42" customFormat="1">
      <c r="A53" s="13">
        <v>2018</v>
      </c>
      <c r="B53" s="45">
        <v>20494.099999999999</v>
      </c>
      <c r="C53" s="45">
        <v>20541.8</v>
      </c>
      <c r="D53" s="45">
        <v>20755.5</v>
      </c>
      <c r="E53" s="45">
        <v>20803.2</v>
      </c>
      <c r="F53" s="45">
        <v>17220.2</v>
      </c>
      <c r="G53" s="45">
        <v>17268</v>
      </c>
      <c r="H53" s="45">
        <v>17481.599999999999</v>
      </c>
      <c r="I53" s="45">
        <f>E53-'2'!B53</f>
        <v>18550.600000000002</v>
      </c>
      <c r="J53" s="45"/>
      <c r="K53" s="79" t="s">
        <v>201</v>
      </c>
      <c r="L53" s="74">
        <f>100*((L41/L31)^(1/10)-1)</f>
        <v>2.9635653122096706</v>
      </c>
      <c r="M53" s="74">
        <f t="shared" ref="M53:S53" si="15">100*((M41/M31)^(1/10)-1)</f>
        <v>2.9635653122096706</v>
      </c>
      <c r="N53" s="74">
        <f t="shared" si="15"/>
        <v>2.9826611405334269</v>
      </c>
      <c r="O53" s="74">
        <f t="shared" si="15"/>
        <v>2.9826611405334269</v>
      </c>
      <c r="P53" s="74">
        <f t="shared" si="15"/>
        <v>3.6522636920760965</v>
      </c>
      <c r="Q53" s="74">
        <f t="shared" si="15"/>
        <v>2.8335874403056405</v>
      </c>
      <c r="R53" s="74">
        <f t="shared" si="15"/>
        <v>3.6520846354615832</v>
      </c>
      <c r="S53" s="74">
        <f t="shared" si="15"/>
        <v>2.854191603915579</v>
      </c>
      <c r="T53" s="154"/>
      <c r="V53" s="19"/>
      <c r="W53" s="19"/>
      <c r="X53" s="19"/>
      <c r="Y53" s="19"/>
      <c r="AA53" s="4"/>
      <c r="AB53" s="4"/>
      <c r="AC53" s="4"/>
      <c r="AD53" s="4"/>
    </row>
    <row r="54" spans="1:33" s="42" customFormat="1">
      <c r="A54" s="13"/>
      <c r="B54" s="39"/>
      <c r="C54" s="39"/>
      <c r="D54" s="39"/>
      <c r="E54" s="39"/>
      <c r="F54" s="39"/>
      <c r="G54" s="39"/>
      <c r="H54" s="39"/>
      <c r="I54" s="45"/>
      <c r="J54" s="45"/>
      <c r="T54" s="111"/>
      <c r="V54" s="19"/>
      <c r="W54" s="19"/>
      <c r="X54" s="19"/>
      <c r="Y54" s="19"/>
      <c r="AA54" s="4"/>
      <c r="AB54" s="4"/>
      <c r="AC54" s="4"/>
      <c r="AD54" s="4"/>
      <c r="AF54" s="137"/>
    </row>
    <row r="55" spans="1:33">
      <c r="A55" s="5" t="s">
        <v>141</v>
      </c>
      <c r="B55" s="15"/>
      <c r="C55" s="15"/>
      <c r="D55" s="15"/>
      <c r="E55" s="15"/>
      <c r="F55" s="15"/>
      <c r="G55" s="15"/>
      <c r="H55" s="15"/>
      <c r="I55" s="15"/>
      <c r="J55" s="45"/>
      <c r="K55" s="174" t="s">
        <v>105</v>
      </c>
      <c r="L55" s="174"/>
      <c r="M55" s="174"/>
      <c r="N55" s="174"/>
      <c r="O55" s="174"/>
      <c r="P55" s="174"/>
      <c r="Q55" s="174"/>
      <c r="R55" s="174"/>
      <c r="S55" s="174"/>
      <c r="T55" s="23">
        <v>176.24600000000001</v>
      </c>
      <c r="V55" s="19">
        <f>B40-C40</f>
        <v>-55.100000000000364</v>
      </c>
      <c r="W55" s="19">
        <f>D40-E40</f>
        <v>-55.100000000000364</v>
      </c>
      <c r="X55" s="19">
        <f>F40-G40</f>
        <v>-55.100000000000364</v>
      </c>
      <c r="Y55" s="19">
        <f>H40-I40</f>
        <v>-856.60000000000036</v>
      </c>
      <c r="AA55" s="4" t="e">
        <f>#REF!-#REF!</f>
        <v>#REF!</v>
      </c>
      <c r="AB55" s="4" t="e">
        <f>N28-#REF!</f>
        <v>#REF!</v>
      </c>
      <c r="AC55" s="4" t="e">
        <f>P28-#REF!</f>
        <v>#REF!</v>
      </c>
      <c r="AD55" s="4" t="e">
        <f>R28-#REF!</f>
        <v>#REF!</v>
      </c>
    </row>
    <row r="56" spans="1:33">
      <c r="A56" s="66" t="s">
        <v>138</v>
      </c>
      <c r="B56" s="57">
        <f t="shared" ref="B56:I56" si="16">((B24/B16)^(1/8)-1)*100</f>
        <v>7.3156144035566806</v>
      </c>
      <c r="C56" s="57">
        <f t="shared" si="16"/>
        <v>7.3128415583657347</v>
      </c>
      <c r="D56" s="57">
        <f t="shared" si="16"/>
        <v>7.2371534406634019</v>
      </c>
      <c r="E56" s="57">
        <f t="shared" si="16"/>
        <v>7.2338799876761284</v>
      </c>
      <c r="F56" s="57">
        <f t="shared" si="16"/>
        <v>7.3681185429530949</v>
      </c>
      <c r="G56" s="57">
        <f t="shared" si="16"/>
        <v>7.3660963817587577</v>
      </c>
      <c r="H56" s="57">
        <f t="shared" si="16"/>
        <v>7.2759012240520837</v>
      </c>
      <c r="I56" s="58">
        <f t="shared" si="16"/>
        <v>7.066829724034962</v>
      </c>
      <c r="J56" s="45"/>
      <c r="K56" s="174" t="s">
        <v>175</v>
      </c>
      <c r="L56" s="174"/>
      <c r="M56" s="174"/>
      <c r="N56" s="174"/>
      <c r="O56" s="174"/>
      <c r="P56" s="174"/>
      <c r="Q56" s="174"/>
      <c r="R56" s="174"/>
      <c r="S56" s="174"/>
      <c r="T56" s="23">
        <v>185.40799999999999</v>
      </c>
      <c r="V56" s="19">
        <f>B41-C41</f>
        <v>-207.89999999999964</v>
      </c>
      <c r="W56" s="19">
        <f>D41-E41</f>
        <v>-207.89999999999964</v>
      </c>
      <c r="X56" s="19">
        <f>F41-G41</f>
        <v>-207.89999999999964</v>
      </c>
      <c r="Y56" s="19">
        <f>H41-I41</f>
        <v>-1087</v>
      </c>
      <c r="AA56" s="4" t="e">
        <f>#REF!-#REF!</f>
        <v>#REF!</v>
      </c>
      <c r="AB56" s="4" t="e">
        <f>N29-#REF!</f>
        <v>#REF!</v>
      </c>
      <c r="AC56" s="4" t="e">
        <f>P29-#REF!</f>
        <v>#REF!</v>
      </c>
      <c r="AD56" s="4" t="e">
        <f>R29-#REF!</f>
        <v>#REF!</v>
      </c>
    </row>
    <row r="57" spans="1:33">
      <c r="A57" s="67" t="s">
        <v>27</v>
      </c>
      <c r="B57" s="10">
        <f t="shared" ref="B57:I57" si="17">100*((B35/B24)^(1/11)-1)</f>
        <v>5.5804592735575254</v>
      </c>
      <c r="C57" s="10">
        <f t="shared" si="17"/>
        <v>5.7869752677712771</v>
      </c>
      <c r="D57" s="10">
        <f t="shared" si="17"/>
        <v>5.5711637315442486</v>
      </c>
      <c r="E57" s="10">
        <f t="shared" si="17"/>
        <v>5.77684213848908</v>
      </c>
      <c r="F57" s="10">
        <f t="shared" si="17"/>
        <v>5.5938832496663204</v>
      </c>
      <c r="G57" s="10">
        <f t="shared" si="17"/>
        <v>5.8364264397715582</v>
      </c>
      <c r="H57" s="10">
        <f t="shared" si="17"/>
        <v>5.582808413602991</v>
      </c>
      <c r="I57" s="11">
        <f t="shared" si="17"/>
        <v>5.7740505687527532</v>
      </c>
      <c r="J57" s="45"/>
      <c r="K57" s="174" t="s">
        <v>160</v>
      </c>
      <c r="L57" s="174"/>
      <c r="M57" s="174"/>
      <c r="N57" s="174"/>
      <c r="O57" s="174"/>
      <c r="P57" s="174"/>
      <c r="Q57" s="174"/>
      <c r="R57" s="174"/>
      <c r="S57" s="174"/>
      <c r="T57" s="23">
        <v>195.71199999999999</v>
      </c>
      <c r="V57" s="19">
        <f>B42-C42</f>
        <v>17.699999999998909</v>
      </c>
      <c r="W57" s="19">
        <f>D42-E42</f>
        <v>17.699999999998909</v>
      </c>
      <c r="X57" s="19">
        <f>F42-G42</f>
        <v>17.700000000000728</v>
      </c>
      <c r="Y57" s="19">
        <f>H42-I42</f>
        <v>-908.30000000000109</v>
      </c>
      <c r="Z57" s="4"/>
      <c r="AA57" s="4" t="e">
        <f>#REF!-#REF!</f>
        <v>#REF!</v>
      </c>
      <c r="AB57" s="4" t="e">
        <f>N30-#REF!</f>
        <v>#REF!</v>
      </c>
      <c r="AC57" s="4" t="e">
        <f>P30-#REF!</f>
        <v>#REF!</v>
      </c>
      <c r="AD57" s="4" t="e">
        <f>R30-#REF!</f>
        <v>#REF!</v>
      </c>
    </row>
    <row r="58" spans="1:33" ht="15" customHeight="1">
      <c r="A58" s="67" t="s">
        <v>28</v>
      </c>
      <c r="B58" s="10">
        <f t="shared" ref="B58:I58" si="18">100*((B43/B35)^(1/8)-1)</f>
        <v>4.6186841098298403</v>
      </c>
      <c r="C58" s="10">
        <f t="shared" si="18"/>
        <v>4.3330618003176502</v>
      </c>
      <c r="D58" s="10">
        <f t="shared" si="18"/>
        <v>4.7108150486274036</v>
      </c>
      <c r="E58" s="10">
        <f t="shared" si="18"/>
        <v>4.4269762712817462</v>
      </c>
      <c r="F58" s="10">
        <f t="shared" si="18"/>
        <v>4.419158397086953</v>
      </c>
      <c r="G58" s="10">
        <f t="shared" si="18"/>
        <v>4.0818210640849006</v>
      </c>
      <c r="H58" s="10">
        <f t="shared" si="18"/>
        <v>4.5293843942205259</v>
      </c>
      <c r="I58" s="11">
        <f t="shared" si="18"/>
        <v>4.3931198847596997</v>
      </c>
      <c r="J58" s="45"/>
      <c r="K58" s="183" t="s">
        <v>161</v>
      </c>
      <c r="L58" s="183"/>
      <c r="M58" s="183"/>
      <c r="N58" s="183"/>
      <c r="O58" s="183"/>
      <c r="P58" s="183"/>
      <c r="Q58" s="183"/>
      <c r="R58" s="183"/>
      <c r="S58" s="183"/>
      <c r="T58" s="23">
        <v>207.52</v>
      </c>
      <c r="V58" s="19">
        <f>B43-C43</f>
        <v>182.79999999999927</v>
      </c>
      <c r="W58" s="19">
        <f>D43-E43</f>
        <v>182.89999999999964</v>
      </c>
      <c r="X58" s="19">
        <f>F43-G43</f>
        <v>182.79999999999927</v>
      </c>
      <c r="Y58" s="19">
        <f>H43-I43</f>
        <v>-591.89999999999964</v>
      </c>
      <c r="Z58" s="4"/>
      <c r="AA58" s="4" t="e">
        <f>#REF!-#REF!</f>
        <v>#REF!</v>
      </c>
      <c r="AB58" s="4" t="e">
        <f>N31-#REF!</f>
        <v>#REF!</v>
      </c>
      <c r="AC58" s="4" t="e">
        <f>P31-#REF!</f>
        <v>#REF!</v>
      </c>
      <c r="AD58" s="4" t="e">
        <f>R31-#REF!</f>
        <v>#REF!</v>
      </c>
    </row>
    <row r="59" spans="1:33" s="42" customFormat="1">
      <c r="A59" s="68" t="s">
        <v>152</v>
      </c>
      <c r="B59" s="59">
        <f t="shared" ref="B59:I59" si="19">100*((B43/B16)^(1/27)-1)</f>
        <v>5.8043611647728977</v>
      </c>
      <c r="C59" s="59">
        <f t="shared" si="19"/>
        <v>5.8020783795110997</v>
      </c>
      <c r="D59" s="59">
        <f t="shared" si="19"/>
        <v>5.8052324880546458</v>
      </c>
      <c r="E59" s="59">
        <f t="shared" si="19"/>
        <v>5.8030797622115049</v>
      </c>
      <c r="F59" s="59">
        <f t="shared" si="19"/>
        <v>5.7653367684528112</v>
      </c>
      <c r="G59" s="59">
        <f t="shared" si="19"/>
        <v>5.7622031618721481</v>
      </c>
      <c r="H59" s="59">
        <f t="shared" si="19"/>
        <v>5.7669530728581275</v>
      </c>
      <c r="I59" s="60">
        <f t="shared" si="19"/>
        <v>5.7429198746636434</v>
      </c>
      <c r="J59" s="45"/>
      <c r="K59" s="183" t="s">
        <v>150</v>
      </c>
      <c r="L59" s="183"/>
      <c r="M59" s="183"/>
      <c r="N59" s="183"/>
      <c r="O59" s="183"/>
      <c r="P59" s="183"/>
      <c r="Q59" s="183"/>
      <c r="R59" s="183"/>
      <c r="S59" s="183"/>
      <c r="T59" s="125"/>
      <c r="V59" s="19"/>
      <c r="W59" s="19"/>
      <c r="X59" s="19"/>
      <c r="Y59" s="19"/>
      <c r="Z59" s="4"/>
      <c r="AA59" s="4"/>
      <c r="AB59" s="4"/>
      <c r="AC59" s="4"/>
      <c r="AD59" s="4"/>
    </row>
    <row r="60" spans="1:33" s="33" customFormat="1">
      <c r="A60" s="21"/>
      <c r="B60" s="10"/>
      <c r="C60" s="10"/>
      <c r="D60" s="10"/>
      <c r="E60" s="10"/>
      <c r="F60" s="10"/>
      <c r="G60" s="10"/>
      <c r="H60" s="10"/>
      <c r="I60" s="10"/>
      <c r="J60" s="45"/>
      <c r="K60" s="42"/>
      <c r="L60" s="140"/>
      <c r="M60" s="140"/>
      <c r="N60" s="140"/>
      <c r="O60" s="140"/>
      <c r="P60" s="140"/>
      <c r="Q60" s="140"/>
      <c r="R60" s="140"/>
      <c r="S60" s="140"/>
      <c r="T60" s="32"/>
      <c r="V60" s="19"/>
      <c r="W60" s="19"/>
      <c r="X60" s="19"/>
      <c r="Y60" s="19"/>
      <c r="Z60" s="4"/>
      <c r="AA60" s="4"/>
      <c r="AB60" s="4"/>
      <c r="AC60" s="4"/>
      <c r="AD60" s="4"/>
    </row>
    <row r="61" spans="1:33" s="42" customFormat="1">
      <c r="A61" s="69" t="s">
        <v>142</v>
      </c>
      <c r="J61" s="45"/>
      <c r="L61" s="140"/>
      <c r="M61" s="140"/>
      <c r="N61" s="140"/>
      <c r="O61" s="140"/>
      <c r="P61" s="140"/>
      <c r="Q61" s="140"/>
      <c r="R61" s="140"/>
      <c r="S61" s="140"/>
      <c r="T61" s="46"/>
      <c r="V61" s="19"/>
      <c r="W61" s="19"/>
      <c r="X61" s="19"/>
      <c r="Y61" s="19"/>
      <c r="Z61" s="4"/>
      <c r="AA61" s="4"/>
      <c r="AB61" s="4"/>
      <c r="AC61" s="4"/>
      <c r="AD61" s="4"/>
    </row>
    <row r="62" spans="1:33" s="42" customFormat="1">
      <c r="A62" s="150" t="s">
        <v>202</v>
      </c>
      <c r="B62" s="72">
        <f>100*((B53/B16)^(1/37)-1)</f>
        <v>5.1407518139664932</v>
      </c>
      <c r="C62" s="72">
        <f t="shared" ref="C62:I62" si="20">100*((C53/C16)^(1/37)-1)</f>
        <v>5.1812377582233005</v>
      </c>
      <c r="D62" s="72">
        <f t="shared" si="20"/>
        <v>5.1476766200386992</v>
      </c>
      <c r="E62" s="72">
        <f t="shared" si="20"/>
        <v>5.1878236845919412</v>
      </c>
      <c r="F62" s="72">
        <f t="shared" si="20"/>
        <v>5.1143950415301953</v>
      </c>
      <c r="G62" s="72">
        <f t="shared" si="20"/>
        <v>5.1623591421060544</v>
      </c>
      <c r="H62" s="72">
        <f t="shared" si="20"/>
        <v>5.1230371804140473</v>
      </c>
      <c r="I62" s="72">
        <f t="shared" si="20"/>
        <v>5.1428800185520984</v>
      </c>
      <c r="J62" s="45"/>
      <c r="L62" s="140"/>
      <c r="M62" s="140"/>
      <c r="N62" s="140"/>
      <c r="O62" s="140"/>
      <c r="P62" s="140"/>
      <c r="Q62" s="140"/>
      <c r="R62" s="140"/>
      <c r="S62" s="140"/>
      <c r="T62" s="65"/>
      <c r="V62" s="19"/>
      <c r="W62" s="19"/>
      <c r="X62" s="19"/>
      <c r="Y62" s="19"/>
      <c r="Z62" s="4"/>
      <c r="AA62" s="4"/>
      <c r="AB62" s="4"/>
      <c r="AC62" s="4"/>
      <c r="AD62" s="4"/>
    </row>
    <row r="63" spans="1:33" s="42" customFormat="1">
      <c r="A63" s="142" t="s">
        <v>200</v>
      </c>
      <c r="B63" s="73">
        <f>100*((B53/B35)^(1/18)-1)</f>
        <v>3.9229653097272665</v>
      </c>
      <c r="C63" s="73">
        <f t="shared" ref="C63:I63" si="21">100*((C53/C35)^(1/18)-1)</f>
        <v>3.8823064447877087</v>
      </c>
      <c r="D63" s="73">
        <f t="shared" si="21"/>
        <v>3.9764211910655378</v>
      </c>
      <c r="E63" s="73">
        <f t="shared" si="21"/>
        <v>3.9357562548548497</v>
      </c>
      <c r="F63" s="73">
        <f t="shared" si="21"/>
        <v>3.838776241527464</v>
      </c>
      <c r="G63" s="73">
        <f t="shared" si="21"/>
        <v>3.7914403459939239</v>
      </c>
      <c r="H63" s="73">
        <f t="shared" si="21"/>
        <v>3.9026550454055897</v>
      </c>
      <c r="I63" s="73">
        <f t="shared" si="21"/>
        <v>3.918147167976227</v>
      </c>
      <c r="J63" s="45"/>
      <c r="K63" s="15"/>
      <c r="L63" s="23"/>
      <c r="M63" s="23"/>
      <c r="N63" s="23"/>
      <c r="O63" s="23"/>
      <c r="P63" s="23"/>
      <c r="Q63" s="23"/>
      <c r="R63" s="23"/>
      <c r="S63" s="23"/>
      <c r="T63" s="29">
        <v>1927</v>
      </c>
      <c r="U63" s="29">
        <v>98667</v>
      </c>
      <c r="V63" s="29">
        <v>73961</v>
      </c>
      <c r="W63" s="29">
        <v>229331</v>
      </c>
      <c r="X63" s="19"/>
      <c r="Y63" s="19"/>
      <c r="Z63" s="4"/>
      <c r="AA63" s="4"/>
      <c r="AB63" s="4"/>
      <c r="AC63" s="4"/>
      <c r="AD63" s="4"/>
    </row>
    <row r="64" spans="1:33">
      <c r="A64" s="79" t="s">
        <v>201</v>
      </c>
      <c r="B64" s="74">
        <f>100*((B53/B43)^(1/10)-1)</f>
        <v>3.3697228728119422</v>
      </c>
      <c r="C64" s="74">
        <f t="shared" ref="C64:I64" si="22">100*((C53/C43)^(1/10)-1)</f>
        <v>3.5231047078235767</v>
      </c>
      <c r="D64" s="74">
        <f t="shared" si="22"/>
        <v>3.3926163490186623</v>
      </c>
      <c r="E64" s="74">
        <f t="shared" si="22"/>
        <v>3.5444444522552354</v>
      </c>
      <c r="F64" s="74">
        <f t="shared" si="22"/>
        <v>3.3767940111879557</v>
      </c>
      <c r="G64" s="74">
        <f t="shared" si="22"/>
        <v>3.5597191816983287</v>
      </c>
      <c r="H64" s="74">
        <f t="shared" si="22"/>
        <v>3.4039781910555789</v>
      </c>
      <c r="I64" s="74">
        <f t="shared" si="22"/>
        <v>3.5397254254288191</v>
      </c>
      <c r="J64" s="9"/>
      <c r="AG64" s="28"/>
    </row>
    <row r="65" spans="1:19" s="42" customFormat="1">
      <c r="A65" s="21"/>
      <c r="B65" s="13"/>
      <c r="C65" s="13"/>
      <c r="D65" s="13"/>
      <c r="E65" s="13"/>
      <c r="F65" s="13"/>
      <c r="G65" s="13"/>
      <c r="H65" s="13"/>
      <c r="I65" s="13"/>
      <c r="J65" s="10"/>
    </row>
    <row r="66" spans="1:19" s="42" customFormat="1">
      <c r="A66" s="15"/>
      <c r="B66" s="28"/>
      <c r="C66" s="28"/>
      <c r="D66" s="28"/>
      <c r="E66" s="28"/>
      <c r="F66" s="28"/>
      <c r="G66" s="28"/>
      <c r="H66" s="28"/>
      <c r="I66" s="28"/>
      <c r="J66" s="10"/>
    </row>
    <row r="67" spans="1:19" s="42" customFormat="1">
      <c r="A67" s="174" t="s">
        <v>105</v>
      </c>
      <c r="B67" s="174"/>
      <c r="C67" s="174"/>
      <c r="D67" s="174"/>
      <c r="E67" s="174"/>
      <c r="F67" s="174"/>
      <c r="G67" s="174"/>
      <c r="H67" s="174"/>
      <c r="I67" s="174"/>
      <c r="J67" s="10"/>
    </row>
    <row r="68" spans="1:19" s="42" customFormat="1" ht="15" customHeight="1">
      <c r="A68" s="180" t="s">
        <v>174</v>
      </c>
      <c r="B68" s="180"/>
      <c r="C68" s="180"/>
      <c r="D68" s="180"/>
      <c r="E68" s="180"/>
      <c r="F68" s="180"/>
      <c r="G68" s="180"/>
      <c r="H68" s="180"/>
      <c r="I68" s="180"/>
      <c r="J68" s="63"/>
    </row>
    <row r="69" spans="1:19" s="42" customFormat="1" ht="15" customHeight="1">
      <c r="A69" s="180"/>
      <c r="B69" s="180"/>
      <c r="C69" s="180"/>
      <c r="D69" s="180"/>
      <c r="E69" s="180"/>
      <c r="F69" s="180"/>
      <c r="G69" s="180"/>
      <c r="H69" s="180"/>
      <c r="I69" s="180"/>
      <c r="J69" s="63"/>
      <c r="K69" s="15"/>
      <c r="L69" s="23"/>
      <c r="M69" s="23"/>
      <c r="N69" s="23"/>
      <c r="O69" s="23"/>
      <c r="P69" s="23"/>
      <c r="Q69" s="23"/>
      <c r="R69" s="23"/>
      <c r="S69" s="23"/>
    </row>
    <row r="70" spans="1:19" s="42" customFormat="1" ht="15" customHeight="1">
      <c r="A70" s="117"/>
      <c r="B70" s="117"/>
      <c r="C70" s="117"/>
      <c r="D70" s="117"/>
      <c r="E70" s="117"/>
      <c r="F70" s="117"/>
      <c r="G70" s="117"/>
      <c r="H70" s="117"/>
      <c r="I70" s="117"/>
      <c r="J70" s="123"/>
      <c r="K70" s="15"/>
      <c r="L70" s="23"/>
      <c r="M70" s="23"/>
      <c r="N70" s="23"/>
      <c r="O70" s="23"/>
      <c r="P70" s="23"/>
      <c r="Q70" s="23"/>
      <c r="R70" s="23"/>
      <c r="S70" s="23"/>
    </row>
    <row r="71" spans="1:19" s="42" customFormat="1" ht="15" customHeight="1">
      <c r="A71" s="15"/>
      <c r="B71" s="23"/>
      <c r="C71" s="23"/>
      <c r="D71" s="23"/>
      <c r="E71" s="23"/>
      <c r="F71" s="23"/>
      <c r="G71" s="23"/>
      <c r="H71" s="23"/>
      <c r="I71" s="23"/>
      <c r="J71" s="123"/>
      <c r="K71" s="15"/>
      <c r="L71" s="23"/>
      <c r="M71" s="23"/>
      <c r="N71" s="23"/>
      <c r="O71" s="23"/>
      <c r="P71" s="23"/>
      <c r="Q71" s="23"/>
      <c r="R71" s="23"/>
      <c r="S71" s="23"/>
    </row>
    <row r="72" spans="1:19" s="42" customFormat="1">
      <c r="A72" s="15"/>
      <c r="B72" s="23"/>
      <c r="C72" s="23"/>
      <c r="D72" s="23"/>
      <c r="E72" s="23"/>
      <c r="F72" s="23"/>
      <c r="G72" s="23"/>
      <c r="H72" s="23"/>
      <c r="I72" s="23"/>
      <c r="J72" s="109"/>
      <c r="K72" s="15"/>
      <c r="L72" s="23"/>
      <c r="M72" s="23"/>
      <c r="N72" s="23"/>
      <c r="O72" s="23"/>
      <c r="P72" s="23"/>
      <c r="Q72" s="23"/>
      <c r="R72" s="23"/>
      <c r="S72" s="23"/>
    </row>
    <row r="73" spans="1:19" s="42" customFormat="1">
      <c r="A73" s="15"/>
      <c r="B73" s="23"/>
      <c r="C73" s="23"/>
      <c r="D73" s="23"/>
      <c r="E73" s="23"/>
      <c r="F73" s="23"/>
      <c r="G73" s="23"/>
      <c r="H73" s="23"/>
      <c r="I73" s="23"/>
      <c r="J73" s="10"/>
      <c r="K73" s="15"/>
      <c r="L73" s="23"/>
      <c r="M73" s="23"/>
      <c r="N73" s="23"/>
      <c r="O73" s="23"/>
      <c r="P73" s="23"/>
      <c r="Q73" s="23"/>
      <c r="R73" s="23"/>
      <c r="S73" s="23"/>
    </row>
    <row r="74" spans="1:19" s="42" customFormat="1">
      <c r="A74" s="15"/>
      <c r="B74" s="23"/>
      <c r="C74" s="23"/>
      <c r="D74" s="23"/>
      <c r="E74" s="23"/>
      <c r="F74" s="23"/>
      <c r="G74" s="23"/>
      <c r="H74" s="23"/>
      <c r="I74" s="23"/>
      <c r="J74" s="10"/>
      <c r="K74" s="15"/>
      <c r="L74" s="23"/>
      <c r="M74" s="23"/>
      <c r="N74" s="23"/>
      <c r="O74" s="23"/>
      <c r="P74" s="23"/>
      <c r="Q74" s="23"/>
      <c r="R74" s="23"/>
      <c r="S74" s="23"/>
    </row>
    <row r="75" spans="1:19" s="42" customFormat="1">
      <c r="A75" s="15"/>
      <c r="B75" s="23"/>
      <c r="C75" s="23"/>
      <c r="D75" s="23"/>
      <c r="E75" s="23"/>
      <c r="F75" s="23"/>
      <c r="G75" s="23"/>
      <c r="H75" s="23"/>
      <c r="I75" s="23"/>
      <c r="J75" s="10"/>
      <c r="K75" s="15"/>
      <c r="L75" s="23"/>
      <c r="M75" s="23"/>
      <c r="N75" s="23"/>
      <c r="O75" s="23"/>
      <c r="P75" s="23"/>
      <c r="Q75" s="23"/>
      <c r="R75" s="23"/>
      <c r="S75" s="23"/>
    </row>
    <row r="76" spans="1:19" s="42" customFormat="1">
      <c r="A76" s="15"/>
      <c r="B76" s="23"/>
      <c r="C76" s="23"/>
      <c r="D76" s="23"/>
      <c r="E76" s="23"/>
      <c r="F76" s="23"/>
      <c r="G76" s="23"/>
      <c r="H76" s="23"/>
      <c r="I76" s="23"/>
      <c r="J76" s="10"/>
      <c r="K76" s="15"/>
      <c r="L76" s="23"/>
      <c r="M76" s="23"/>
      <c r="N76" s="23"/>
      <c r="O76" s="23"/>
      <c r="P76" s="23"/>
      <c r="Q76" s="23"/>
      <c r="R76" s="23"/>
      <c r="S76" s="23"/>
    </row>
    <row r="79" spans="1:19" ht="44.25" customHeight="1">
      <c r="J79" s="64"/>
    </row>
    <row r="80" spans="1:19" ht="27.75" customHeight="1"/>
    <row r="81" spans="2:19" ht="15.75" customHeight="1"/>
    <row r="82" spans="2:19">
      <c r="J82" s="13"/>
    </row>
    <row r="83" spans="2:19" hidden="1">
      <c r="B83" s="23">
        <f>B31/'6'!B31</f>
        <v>0.73182914226662077</v>
      </c>
      <c r="C83" s="23">
        <f t="shared" ref="C83:C95" si="23">F31/B83</f>
        <v>9425.4240527182865</v>
      </c>
    </row>
    <row r="84" spans="2:19" hidden="1">
      <c r="B84" s="23">
        <f>B32/'6'!B32</f>
        <v>0.74446054904139081</v>
      </c>
      <c r="C84" s="23">
        <f t="shared" si="23"/>
        <v>9857.0703436858785</v>
      </c>
    </row>
    <row r="85" spans="2:19" hidden="1">
      <c r="B85" s="23">
        <f>B33/'6'!B33</f>
        <v>0.75283054916391845</v>
      </c>
      <c r="C85" s="23">
        <f t="shared" si="23"/>
        <v>10298.59907865119</v>
      </c>
    </row>
    <row r="86" spans="2:19" hidden="1">
      <c r="B86" s="23">
        <f>B34/'6'!B34</f>
        <v>0.76370484913365855</v>
      </c>
      <c r="C86" s="23">
        <f t="shared" si="23"/>
        <v>10778.640477846886</v>
      </c>
    </row>
    <row r="87" spans="2:19" hidden="1">
      <c r="B87" s="23">
        <f>B35/'6'!B35</f>
        <v>0.78077069530119558</v>
      </c>
      <c r="C87" s="23">
        <f t="shared" si="23"/>
        <v>11195.476536972194</v>
      </c>
    </row>
    <row r="88" spans="2:19" hidden="1">
      <c r="B88" s="23">
        <f>B36/'6'!B36</f>
        <v>0.7978977688299741</v>
      </c>
      <c r="C88" s="23">
        <f t="shared" si="23"/>
        <v>11257.457221833714</v>
      </c>
    </row>
    <row r="89" spans="2:19" hidden="1">
      <c r="B89" s="23">
        <f>B37/'6'!B37</f>
        <v>0.81051796844313018</v>
      </c>
      <c r="C89" s="23">
        <f t="shared" si="23"/>
        <v>11447.494517391464</v>
      </c>
    </row>
    <row r="90" spans="2:19" hidden="1">
      <c r="B90" s="23">
        <f>B38/'6'!B38</f>
        <v>0.82557226333119582</v>
      </c>
      <c r="C90" s="23">
        <f t="shared" si="23"/>
        <v>11796.907954128921</v>
      </c>
    </row>
    <row r="91" spans="2:19" hidden="1">
      <c r="B91" s="23">
        <f>B39/'6'!B39</f>
        <v>0.84779681252776551</v>
      </c>
      <c r="C91" s="23">
        <f t="shared" si="23"/>
        <v>12257.536058688192</v>
      </c>
    </row>
    <row r="92" spans="2:19" hidden="1">
      <c r="B92" s="23">
        <f>B40/'6'!B40</f>
        <v>0.87420620284995809</v>
      </c>
      <c r="C92" s="23">
        <f t="shared" si="23"/>
        <v>12657.883190402406</v>
      </c>
    </row>
    <row r="93" spans="2:19" hidden="1">
      <c r="B93" s="23">
        <f>B41/'6'!B41</f>
        <v>0.90066043824934972</v>
      </c>
      <c r="C93" s="23">
        <f t="shared" si="23"/>
        <v>12979.919516308832</v>
      </c>
      <c r="K93" s="22">
        <v>2632.1</v>
      </c>
      <c r="L93" s="16">
        <v>2862.5</v>
      </c>
      <c r="M93" s="16">
        <v>3210.9</v>
      </c>
      <c r="N93" s="16">
        <v>3345</v>
      </c>
      <c r="O93" s="16">
        <v>3638.1</v>
      </c>
      <c r="P93" s="16">
        <v>4040.7</v>
      </c>
      <c r="Q93" s="16">
        <v>4346.7</v>
      </c>
      <c r="R93" s="16">
        <v>4590.1000000000004</v>
      </c>
      <c r="S93" s="16">
        <v>4870.2</v>
      </c>
    </row>
    <row r="94" spans="2:19" hidden="1">
      <c r="B94" s="23">
        <f>B42/'6'!B42</f>
        <v>0.92486240880583637</v>
      </c>
      <c r="C94" s="23">
        <f t="shared" si="23"/>
        <v>13190.178218780922</v>
      </c>
      <c r="K94" s="22">
        <v>2587.4</v>
      </c>
      <c r="L94" s="16">
        <v>2818.6</v>
      </c>
      <c r="M94" s="16">
        <v>3174.2</v>
      </c>
      <c r="N94" s="16">
        <v>3338.2</v>
      </c>
      <c r="O94" s="16">
        <v>3584</v>
      </c>
      <c r="P94" s="16">
        <v>4002</v>
      </c>
      <c r="Q94" s="16">
        <v>4295.5</v>
      </c>
      <c r="R94" s="16">
        <v>4513.3999999999996</v>
      </c>
      <c r="S94" s="16">
        <v>4829.7</v>
      </c>
    </row>
    <row r="95" spans="2:19" hidden="1">
      <c r="B95" s="23">
        <f>B43/'6'!B43</f>
        <v>0.94284414311072939</v>
      </c>
      <c r="C95" s="23">
        <f t="shared" si="23"/>
        <v>13102.907930509489</v>
      </c>
      <c r="K95" s="22">
        <v>2664.1</v>
      </c>
      <c r="L95" s="16">
        <v>2896.7</v>
      </c>
      <c r="M95" s="16">
        <v>3243.9</v>
      </c>
      <c r="N95" s="16">
        <v>3381.5</v>
      </c>
      <c r="O95" s="16">
        <v>3675.2</v>
      </c>
      <c r="P95" s="16">
        <v>4077</v>
      </c>
      <c r="Q95" s="16">
        <v>4372.1000000000004</v>
      </c>
      <c r="R95" s="16">
        <v>4607.1000000000004</v>
      </c>
      <c r="S95" s="16">
        <v>4887.7</v>
      </c>
    </row>
    <row r="96" spans="2:19" hidden="1">
      <c r="K96" s="22">
        <v>2619.3000000000002</v>
      </c>
      <c r="L96" s="16">
        <v>2852.8</v>
      </c>
      <c r="M96" s="16">
        <v>3207.2</v>
      </c>
      <c r="N96" s="16">
        <v>3374.7</v>
      </c>
      <c r="O96" s="16">
        <v>3621.1</v>
      </c>
      <c r="P96" s="16">
        <v>4038.3</v>
      </c>
      <c r="Q96" s="16">
        <v>4320.8</v>
      </c>
      <c r="R96" s="16">
        <v>4530.3999999999996</v>
      </c>
      <c r="S96" s="16">
        <v>4847.2</v>
      </c>
    </row>
    <row r="97" spans="1:19" hidden="1">
      <c r="K97" s="22">
        <v>2261</v>
      </c>
      <c r="L97" s="16">
        <v>2436.5</v>
      </c>
      <c r="M97" s="16">
        <v>2725.9</v>
      </c>
      <c r="N97" s="16">
        <v>2810.7</v>
      </c>
      <c r="O97" s="16">
        <v>3077.6</v>
      </c>
      <c r="P97" s="16">
        <v>3446.4</v>
      </c>
      <c r="Q97" s="16">
        <v>3710.1</v>
      </c>
      <c r="R97" s="16">
        <v>3908</v>
      </c>
      <c r="S97" s="16">
        <v>4142.3</v>
      </c>
    </row>
    <row r="98" spans="1:19" hidden="1">
      <c r="K98" s="22">
        <v>2216.1999999999998</v>
      </c>
      <c r="L98" s="16">
        <v>2392.6</v>
      </c>
      <c r="M98" s="16">
        <v>2689.2</v>
      </c>
      <c r="N98" s="16">
        <v>2803.9</v>
      </c>
      <c r="O98" s="16">
        <v>3023.4</v>
      </c>
      <c r="P98" s="16">
        <v>3407.7</v>
      </c>
      <c r="Q98" s="16">
        <v>3658.8</v>
      </c>
      <c r="R98" s="16">
        <v>3831.2</v>
      </c>
      <c r="S98" s="16">
        <v>4101.7</v>
      </c>
    </row>
    <row r="99" spans="1:19" hidden="1">
      <c r="K99" s="22">
        <v>2292.9</v>
      </c>
      <c r="L99" s="16">
        <v>2470.6999999999998</v>
      </c>
      <c r="M99" s="16">
        <v>2758.8</v>
      </c>
      <c r="N99" s="16">
        <v>2847.2</v>
      </c>
      <c r="O99" s="16">
        <v>3114.7</v>
      </c>
      <c r="P99" s="16">
        <v>3482.6</v>
      </c>
      <c r="Q99" s="16">
        <v>3735.4</v>
      </c>
      <c r="R99" s="16">
        <v>3924.9</v>
      </c>
      <c r="S99" s="16">
        <v>4159.7</v>
      </c>
    </row>
    <row r="100" spans="1:19" hidden="1"/>
    <row r="101" spans="1:19" hidden="1"/>
    <row r="102" spans="1:19" hidden="1"/>
    <row r="103" spans="1:19" hidden="1"/>
    <row r="104" spans="1:19" hidden="1"/>
    <row r="105" spans="1:19" hidden="1"/>
    <row r="106" spans="1:19" hidden="1"/>
    <row r="107" spans="1:19" hidden="1"/>
    <row r="108" spans="1:19" hidden="1"/>
    <row r="109" spans="1:19" hidden="1"/>
    <row r="110" spans="1:19" hidden="1"/>
    <row r="111" spans="1:19" hidden="1">
      <c r="B111" s="16">
        <v>1075.9000000000001</v>
      </c>
      <c r="C111" s="16">
        <v>1167.8</v>
      </c>
      <c r="D111" s="16">
        <v>1282.4000000000001</v>
      </c>
      <c r="E111" s="16">
        <v>1428.5</v>
      </c>
      <c r="F111" s="16">
        <v>1548.8</v>
      </c>
      <c r="G111" s="16">
        <v>1688.9</v>
      </c>
      <c r="H111" s="16">
        <v>1877.6</v>
      </c>
      <c r="I111" s="16">
        <v>2086</v>
      </c>
    </row>
    <row r="112" spans="1:19" hidden="1">
      <c r="A112" s="22">
        <v>1019.9</v>
      </c>
      <c r="B112" s="16">
        <v>1070.5</v>
      </c>
      <c r="C112" s="16">
        <v>1158.3</v>
      </c>
      <c r="D112" s="16">
        <v>1275.3</v>
      </c>
      <c r="E112" s="16">
        <v>1422.4</v>
      </c>
      <c r="F112" s="16">
        <v>1541.4</v>
      </c>
      <c r="G112" s="16">
        <v>1675.7</v>
      </c>
      <c r="H112" s="16">
        <v>1857.1</v>
      </c>
      <c r="I112" s="16">
        <v>2066.6999999999998</v>
      </c>
    </row>
    <row r="113" spans="1:41" hidden="1">
      <c r="A113" s="22">
        <v>1018.3</v>
      </c>
      <c r="B113" s="16">
        <v>1082.3</v>
      </c>
      <c r="C113" s="16">
        <v>1175.4000000000001</v>
      </c>
      <c r="D113" s="16">
        <v>1291</v>
      </c>
      <c r="E113" s="16">
        <v>1441.2</v>
      </c>
      <c r="F113" s="16">
        <v>1564.3</v>
      </c>
      <c r="G113" s="16">
        <v>1701.9</v>
      </c>
      <c r="H113" s="16">
        <v>1894.4</v>
      </c>
      <c r="I113" s="16">
        <v>2106.1999999999998</v>
      </c>
    </row>
    <row r="114" spans="1:41" hidden="1">
      <c r="A114" s="22">
        <v>1026</v>
      </c>
      <c r="B114" s="16">
        <v>1076.9000000000001</v>
      </c>
      <c r="C114" s="16">
        <v>1165.9000000000001</v>
      </c>
      <c r="D114" s="16">
        <v>1283.9000000000001</v>
      </c>
      <c r="E114" s="16">
        <v>1435.1</v>
      </c>
      <c r="F114" s="16">
        <v>1556.9</v>
      </c>
      <c r="G114" s="16">
        <v>1688.7</v>
      </c>
      <c r="H114" s="16">
        <v>1874</v>
      </c>
      <c r="I114" s="16">
        <v>2087</v>
      </c>
    </row>
    <row r="115" spans="1:41" hidden="1">
      <c r="A115" s="22">
        <v>1024.4000000000001</v>
      </c>
      <c r="B115" s="111">
        <v>939.1</v>
      </c>
      <c r="C115" s="16">
        <v>1018.9</v>
      </c>
      <c r="D115" s="16">
        <v>1121.5999999999999</v>
      </c>
      <c r="E115" s="16">
        <v>1250.5</v>
      </c>
      <c r="F115" s="16">
        <v>1342.7</v>
      </c>
      <c r="G115" s="16">
        <v>1451.4</v>
      </c>
      <c r="H115" s="16">
        <v>1618.4</v>
      </c>
      <c r="I115" s="16">
        <v>1797.6</v>
      </c>
      <c r="J115" s="16">
        <v>2356.6</v>
      </c>
      <c r="T115" s="22">
        <v>5252.6</v>
      </c>
      <c r="U115" s="22">
        <v>5657.7</v>
      </c>
      <c r="V115" s="22">
        <v>5979.6</v>
      </c>
      <c r="W115" s="22">
        <v>6174</v>
      </c>
      <c r="X115" s="22">
        <v>6539.3</v>
      </c>
      <c r="Y115" s="22">
        <v>6878.7</v>
      </c>
      <c r="Z115" s="22">
        <v>7308.7</v>
      </c>
      <c r="AA115" s="22">
        <v>7664</v>
      </c>
      <c r="AB115" s="22">
        <v>8100.2</v>
      </c>
      <c r="AC115" s="22">
        <v>8608.5</v>
      </c>
      <c r="AD115" s="22">
        <v>9089.1</v>
      </c>
      <c r="AE115" s="22">
        <v>9665.7000000000007</v>
      </c>
      <c r="AF115" s="22">
        <v>10289.700000000001</v>
      </c>
      <c r="AG115" s="22">
        <v>10625.3</v>
      </c>
      <c r="AH115" s="22"/>
      <c r="AI115" s="22">
        <v>13857.9</v>
      </c>
      <c r="AJ115" s="22">
        <v>14480.3</v>
      </c>
      <c r="AK115" s="22">
        <v>14720.3</v>
      </c>
      <c r="AL115" s="22">
        <v>14417.9</v>
      </c>
      <c r="AM115" s="22">
        <v>14958.3</v>
      </c>
      <c r="AN115" s="22">
        <v>15533.8</v>
      </c>
      <c r="AO115" s="22">
        <v>16244.6</v>
      </c>
    </row>
    <row r="116" spans="1:41" hidden="1">
      <c r="A116" s="42">
        <v>895</v>
      </c>
      <c r="B116" s="111">
        <v>933.8</v>
      </c>
      <c r="C116" s="16">
        <v>1009.4</v>
      </c>
      <c r="D116" s="16">
        <v>1114.4000000000001</v>
      </c>
      <c r="E116" s="16">
        <v>1244.4000000000001</v>
      </c>
      <c r="F116" s="16">
        <v>1335.2</v>
      </c>
      <c r="G116" s="16">
        <v>1438.1</v>
      </c>
      <c r="H116" s="16">
        <v>1597.9</v>
      </c>
      <c r="I116" s="16">
        <v>1778.4</v>
      </c>
      <c r="J116" s="16">
        <v>2333.4</v>
      </c>
      <c r="T116" s="22">
        <v>5253.1</v>
      </c>
      <c r="U116" s="22">
        <v>5593.5</v>
      </c>
      <c r="V116" s="22">
        <v>5888.2</v>
      </c>
      <c r="W116" s="22">
        <v>6085.7</v>
      </c>
      <c r="X116" s="22">
        <v>6428.4</v>
      </c>
      <c r="Y116" s="22">
        <v>6726.4</v>
      </c>
      <c r="Z116" s="22">
        <v>7171.9</v>
      </c>
      <c r="AA116" s="22">
        <v>7573.5</v>
      </c>
      <c r="AB116" s="22">
        <v>8043.6</v>
      </c>
      <c r="AC116" s="22">
        <v>8596.2000000000007</v>
      </c>
      <c r="AD116" s="22">
        <v>9149.2999999999993</v>
      </c>
      <c r="AE116" s="22">
        <v>9698.1</v>
      </c>
      <c r="AF116" s="22">
        <v>10384.299999999999</v>
      </c>
      <c r="AG116" s="22">
        <v>10736.8</v>
      </c>
      <c r="AH116" s="22"/>
      <c r="AI116" s="22">
        <v>14073.2</v>
      </c>
      <c r="AJ116" s="22">
        <v>14460.1</v>
      </c>
      <c r="AK116" s="22">
        <v>14621.2</v>
      </c>
      <c r="AL116" s="22">
        <v>14345.7</v>
      </c>
      <c r="AM116" s="22">
        <v>14915.2</v>
      </c>
      <c r="AN116" s="22">
        <v>15587.5</v>
      </c>
      <c r="AO116" s="22">
        <v>16261.6</v>
      </c>
    </row>
    <row r="117" spans="1:41" hidden="1">
      <c r="A117" s="42">
        <v>893.4</v>
      </c>
      <c r="B117" s="111">
        <v>945.5</v>
      </c>
      <c r="C117" s="16">
        <v>1026.5</v>
      </c>
      <c r="D117" s="16">
        <v>1130.0999999999999</v>
      </c>
      <c r="E117" s="16">
        <v>1263.0999999999999</v>
      </c>
      <c r="F117" s="16">
        <v>1358.2</v>
      </c>
      <c r="G117" s="16">
        <v>1464.4</v>
      </c>
      <c r="H117" s="16">
        <v>1635.2</v>
      </c>
      <c r="I117" s="16">
        <v>1817.9</v>
      </c>
      <c r="J117" s="16">
        <v>2378.1999999999998</v>
      </c>
      <c r="T117" s="22">
        <v>5275.3</v>
      </c>
      <c r="U117" s="22">
        <v>5682.5</v>
      </c>
      <c r="V117" s="22">
        <v>6014.3</v>
      </c>
      <c r="W117" s="22">
        <v>6205.6</v>
      </c>
      <c r="X117" s="22">
        <v>6570.4</v>
      </c>
      <c r="Y117" s="22">
        <v>6910.7</v>
      </c>
      <c r="Z117" s="22">
        <v>7332.6</v>
      </c>
      <c r="AA117" s="22">
        <v>7692.8</v>
      </c>
      <c r="AB117" s="22">
        <v>8131.9</v>
      </c>
      <c r="AC117" s="22">
        <v>8632.6</v>
      </c>
      <c r="AD117" s="22">
        <v>9107.4</v>
      </c>
      <c r="AE117" s="22">
        <v>9692.7999999999993</v>
      </c>
      <c r="AF117" s="22">
        <v>10326.799999999999</v>
      </c>
      <c r="AG117" s="22">
        <v>10677.1</v>
      </c>
      <c r="AH117" s="22"/>
      <c r="AI117" s="22">
        <v>13926.3</v>
      </c>
      <c r="AJ117" s="22">
        <v>14606.8</v>
      </c>
      <c r="AK117" s="22">
        <v>14893.2</v>
      </c>
      <c r="AL117" s="22">
        <v>14565.1</v>
      </c>
      <c r="AM117" s="22">
        <v>15164.2</v>
      </c>
      <c r="AN117" s="22">
        <v>15794.6</v>
      </c>
      <c r="AO117" s="22">
        <v>16497.400000000001</v>
      </c>
    </row>
    <row r="118" spans="1:41" hidden="1">
      <c r="A118" s="42">
        <v>901.1</v>
      </c>
      <c r="J118" s="16">
        <v>2355</v>
      </c>
      <c r="T118" s="22">
        <v>5275.8</v>
      </c>
      <c r="U118" s="22">
        <v>5618.3</v>
      </c>
      <c r="V118" s="22">
        <v>5922.9</v>
      </c>
      <c r="W118" s="22">
        <v>6117.3</v>
      </c>
      <c r="X118" s="22">
        <v>6459.5</v>
      </c>
      <c r="Y118" s="22">
        <v>6758.4</v>
      </c>
      <c r="Z118" s="22">
        <v>7195.8</v>
      </c>
      <c r="AA118" s="22">
        <v>7602.3</v>
      </c>
      <c r="AB118" s="22">
        <v>8075.4</v>
      </c>
      <c r="AC118" s="22">
        <v>8620.2999999999993</v>
      </c>
      <c r="AD118" s="22">
        <v>9167.6</v>
      </c>
      <c r="AE118" s="22">
        <v>9725.2999999999993</v>
      </c>
      <c r="AF118" s="22">
        <v>10421.299999999999</v>
      </c>
      <c r="AG118" s="22">
        <v>10788.6</v>
      </c>
      <c r="AH118" s="22"/>
      <c r="AI118" s="22">
        <v>14141.6</v>
      </c>
      <c r="AJ118" s="22">
        <v>14586.6</v>
      </c>
      <c r="AK118" s="22">
        <v>14794.2</v>
      </c>
      <c r="AL118" s="22">
        <v>14492.9</v>
      </c>
      <c r="AM118" s="22">
        <v>15121.1</v>
      </c>
      <c r="AN118" s="22">
        <v>15848.3</v>
      </c>
      <c r="AO118" s="22">
        <v>16514.5</v>
      </c>
    </row>
    <row r="119" spans="1:41" hidden="1">
      <c r="J119" s="16">
        <v>2031.5</v>
      </c>
      <c r="T119" s="22">
        <v>4470.2</v>
      </c>
      <c r="U119" s="22">
        <v>4821.6000000000004</v>
      </c>
      <c r="V119" s="22">
        <v>5092.7</v>
      </c>
      <c r="W119" s="22">
        <v>5242.9</v>
      </c>
      <c r="X119" s="22">
        <v>5579.5</v>
      </c>
      <c r="Y119" s="22">
        <v>5875.1</v>
      </c>
      <c r="Z119" s="22">
        <v>6253.2</v>
      </c>
      <c r="AA119" s="22">
        <v>6541.2</v>
      </c>
      <c r="AB119" s="22">
        <v>6924.1</v>
      </c>
      <c r="AC119" s="22">
        <v>7368.5</v>
      </c>
      <c r="AD119" s="22">
        <v>7778.9</v>
      </c>
      <c r="AE119" s="22">
        <v>8264.7999999999993</v>
      </c>
      <c r="AF119" s="22">
        <v>8775.5</v>
      </c>
      <c r="AG119" s="22">
        <v>9021.2999999999993</v>
      </c>
      <c r="AH119" s="22"/>
      <c r="AI119" s="22">
        <v>11721.9</v>
      </c>
      <c r="AJ119" s="22">
        <v>12216</v>
      </c>
      <c r="AK119" s="22">
        <v>12356.9</v>
      </c>
      <c r="AL119" s="22">
        <v>12049.6</v>
      </c>
      <c r="AM119" s="22">
        <v>12576.7</v>
      </c>
      <c r="AN119" s="22">
        <v>13081.3</v>
      </c>
      <c r="AO119" s="22">
        <v>13701.7</v>
      </c>
    </row>
    <row r="120" spans="1:41" hidden="1">
      <c r="J120" s="16">
        <v>2008.4</v>
      </c>
      <c r="T120" s="22">
        <v>4470.7</v>
      </c>
      <c r="U120" s="22">
        <v>4757.3999999999996</v>
      </c>
      <c r="V120" s="22">
        <v>5001.3999999999996</v>
      </c>
      <c r="W120" s="22">
        <v>5154.5</v>
      </c>
      <c r="X120" s="22">
        <v>5468.7</v>
      </c>
      <c r="Y120" s="22">
        <v>5722.8</v>
      </c>
      <c r="Z120" s="22">
        <v>6116.4</v>
      </c>
      <c r="AA120" s="22">
        <v>6450.7</v>
      </c>
      <c r="AB120" s="22">
        <v>6867.6</v>
      </c>
      <c r="AC120" s="22">
        <v>7356.3</v>
      </c>
      <c r="AD120" s="22">
        <v>7839</v>
      </c>
      <c r="AE120" s="22">
        <v>8297.2999999999993</v>
      </c>
      <c r="AF120" s="22">
        <v>8870</v>
      </c>
      <c r="AG120" s="22">
        <v>9132.7999999999993</v>
      </c>
      <c r="AH120" s="22"/>
      <c r="AI120" s="22">
        <v>11937.1</v>
      </c>
      <c r="AJ120" s="22">
        <v>12195.8</v>
      </c>
      <c r="AK120" s="22">
        <v>12257.9</v>
      </c>
      <c r="AL120" s="22">
        <v>11977.3</v>
      </c>
      <c r="AM120" s="22">
        <v>12533.6</v>
      </c>
      <c r="AN120" s="22">
        <v>13134.9</v>
      </c>
      <c r="AO120" s="22">
        <v>13718.8</v>
      </c>
    </row>
    <row r="121" spans="1:41" hidden="1">
      <c r="J121" s="16">
        <v>2053.1</v>
      </c>
      <c r="T121" s="22">
        <v>4492.8999999999996</v>
      </c>
      <c r="U121" s="22">
        <v>4846.3999999999996</v>
      </c>
      <c r="V121" s="22">
        <v>5127.3999999999996</v>
      </c>
      <c r="W121" s="22">
        <v>5274.5</v>
      </c>
      <c r="X121" s="22">
        <v>5610.6</v>
      </c>
      <c r="Y121" s="22">
        <v>5907.1</v>
      </c>
      <c r="Z121" s="22">
        <v>6277</v>
      </c>
      <c r="AA121" s="22">
        <v>6570</v>
      </c>
      <c r="AB121" s="22">
        <v>6955.9</v>
      </c>
      <c r="AC121" s="22">
        <v>7392.6</v>
      </c>
      <c r="AD121" s="22">
        <v>7797.1</v>
      </c>
      <c r="AE121" s="22">
        <v>8292</v>
      </c>
      <c r="AF121" s="22">
        <v>8812.5</v>
      </c>
      <c r="AG121" s="22">
        <v>9073.1</v>
      </c>
      <c r="AH121" s="22"/>
      <c r="AI121" s="22">
        <v>11790.3</v>
      </c>
      <c r="AJ121" s="22">
        <v>12342.4</v>
      </c>
      <c r="AK121" s="22">
        <v>12529.8</v>
      </c>
      <c r="AL121" s="22">
        <v>12196.7</v>
      </c>
      <c r="AM121" s="22">
        <v>12782.6</v>
      </c>
      <c r="AN121" s="22">
        <v>13342</v>
      </c>
      <c r="AO121" s="22">
        <v>13954.6</v>
      </c>
    </row>
  </sheetData>
  <mergeCells count="9">
    <mergeCell ref="K1:S1"/>
    <mergeCell ref="A1:I1"/>
    <mergeCell ref="A67:I67"/>
    <mergeCell ref="A68:I69"/>
    <mergeCell ref="K55:S55"/>
    <mergeCell ref="K57:S57"/>
    <mergeCell ref="K58:S58"/>
    <mergeCell ref="K59:S59"/>
    <mergeCell ref="K56:S56"/>
  </mergeCells>
  <pageMargins left="0.7" right="0.7" top="0.75" bottom="0.75" header="0.3" footer="0.3"/>
  <pageSetup scale="60" orientation="portrait" r:id="rId1"/>
  <colBreaks count="1" manualBreakCount="1">
    <brk id="10" max="63" man="1"/>
  </colBreaks>
  <ignoredErrors>
    <ignoredError sqref="A59:A61" twoDigitTextYear="1"/>
  </ignoredErrors>
</worksheet>
</file>

<file path=xl/worksheets/sheet7.xml><?xml version="1.0" encoding="utf-8"?>
<worksheet xmlns="http://schemas.openxmlformats.org/spreadsheetml/2006/main" xmlns:r="http://schemas.openxmlformats.org/officeDocument/2006/relationships">
  <sheetPr codeName="Sheet9"/>
  <dimension ref="A1:AR186"/>
  <sheetViews>
    <sheetView view="pageBreakPreview" zoomScaleSheetLayoutView="100" workbookViewId="0">
      <selection activeCell="M20" sqref="M20"/>
    </sheetView>
  </sheetViews>
  <sheetFormatPr defaultRowHeight="15" outlineLevelRow="1"/>
  <cols>
    <col min="1" max="1" width="9.140625" style="15"/>
    <col min="2" max="9" width="14.28515625" style="23" customWidth="1"/>
    <col min="10" max="10" width="14.28515625" style="65" customWidth="1"/>
    <col min="11" max="11" width="9.5703125" style="15" bestFit="1" customWidth="1"/>
    <col min="12" max="19" width="14.28515625" style="23" customWidth="1"/>
    <col min="20" max="20" width="9.42578125" customWidth="1"/>
    <col min="21" max="34" width="9.140625" customWidth="1"/>
    <col min="35" max="35" width="13.42578125" customWidth="1"/>
    <col min="36" max="36" width="9.140625" customWidth="1"/>
    <col min="41" max="41" width="34.28515625" bestFit="1" customWidth="1"/>
    <col min="42" max="42" width="21.7109375" bestFit="1" customWidth="1"/>
    <col min="45" max="16384" width="9.140625" style="15"/>
  </cols>
  <sheetData>
    <row r="1" spans="1:19">
      <c r="A1" s="202" t="s">
        <v>221</v>
      </c>
      <c r="B1" s="202"/>
      <c r="C1" s="202"/>
      <c r="D1" s="202"/>
      <c r="E1" s="202"/>
      <c r="F1" s="202"/>
      <c r="G1" s="202"/>
      <c r="H1" s="202"/>
      <c r="I1" s="202"/>
      <c r="K1" s="202" t="s">
        <v>222</v>
      </c>
      <c r="L1" s="202"/>
      <c r="M1" s="202"/>
      <c r="N1" s="202"/>
      <c r="O1" s="202"/>
      <c r="P1" s="202"/>
      <c r="Q1" s="202"/>
      <c r="R1" s="202"/>
      <c r="S1" s="202"/>
    </row>
    <row r="2" spans="1:19" ht="60" customHeight="1">
      <c r="A2" s="113" t="s">
        <v>39</v>
      </c>
      <c r="B2" s="47" t="s">
        <v>0</v>
      </c>
      <c r="C2" s="47" t="s">
        <v>2</v>
      </c>
      <c r="D2" s="47" t="s">
        <v>6</v>
      </c>
      <c r="E2" s="47" t="s">
        <v>3</v>
      </c>
      <c r="F2" s="47" t="s">
        <v>4</v>
      </c>
      <c r="G2" s="47" t="s">
        <v>5</v>
      </c>
      <c r="H2" s="47" t="s">
        <v>1</v>
      </c>
      <c r="I2" s="47" t="s">
        <v>10</v>
      </c>
      <c r="J2" s="47"/>
      <c r="K2" s="113" t="s">
        <v>39</v>
      </c>
      <c r="L2" s="47" t="s">
        <v>0</v>
      </c>
      <c r="M2" s="47" t="s">
        <v>12</v>
      </c>
      <c r="N2" s="47" t="s">
        <v>16</v>
      </c>
      <c r="O2" s="47" t="s">
        <v>151</v>
      </c>
      <c r="P2" s="47" t="s">
        <v>9</v>
      </c>
      <c r="Q2" s="47" t="s">
        <v>11</v>
      </c>
      <c r="R2" s="47" t="s">
        <v>8</v>
      </c>
      <c r="S2" s="47" t="s">
        <v>10</v>
      </c>
    </row>
    <row r="3" spans="1:19">
      <c r="A3" s="9"/>
      <c r="B3" s="13" t="s">
        <v>17</v>
      </c>
      <c r="C3" s="13" t="s">
        <v>18</v>
      </c>
      <c r="D3" s="13" t="s">
        <v>19</v>
      </c>
      <c r="E3" s="13" t="s">
        <v>20</v>
      </c>
      <c r="F3" s="13" t="s">
        <v>21</v>
      </c>
      <c r="G3" s="13" t="s">
        <v>22</v>
      </c>
      <c r="H3" s="13" t="s">
        <v>23</v>
      </c>
      <c r="I3" s="45" t="s">
        <v>24</v>
      </c>
      <c r="J3" s="45"/>
      <c r="K3" s="9"/>
      <c r="L3" s="13" t="s">
        <v>17</v>
      </c>
      <c r="M3" s="13" t="s">
        <v>18</v>
      </c>
      <c r="N3" s="13" t="s">
        <v>19</v>
      </c>
      <c r="O3" s="13" t="s">
        <v>20</v>
      </c>
      <c r="P3" s="13" t="s">
        <v>21</v>
      </c>
      <c r="Q3" s="13" t="s">
        <v>22</v>
      </c>
      <c r="R3" s="13" t="s">
        <v>23</v>
      </c>
      <c r="S3" s="13" t="s">
        <v>24</v>
      </c>
    </row>
    <row r="4" spans="1:19">
      <c r="A4" s="13">
        <v>1969</v>
      </c>
      <c r="B4" s="52">
        <v>4942.1000000000004</v>
      </c>
      <c r="C4" s="52">
        <v>4934.3999999999996</v>
      </c>
      <c r="D4" s="52">
        <v>4980.7</v>
      </c>
      <c r="E4" s="52">
        <v>4973</v>
      </c>
      <c r="F4" s="52">
        <v>4503.5</v>
      </c>
      <c r="G4" s="52">
        <v>4495.5</v>
      </c>
      <c r="H4" s="52">
        <v>4542.7</v>
      </c>
      <c r="I4" s="45">
        <f>'5'!H4/'6'!$B73*100</f>
        <v>4520.2172601086295</v>
      </c>
      <c r="J4" s="45"/>
      <c r="K4" s="165">
        <v>1981</v>
      </c>
      <c r="L4" s="119">
        <v>871.39625000000001</v>
      </c>
      <c r="M4" s="118">
        <f>'5'!M4/N73*100</f>
        <v>844.61826260704936</v>
      </c>
      <c r="N4" s="118">
        <f>'5'!N4*100/(100*'5'!L4/L4)</f>
        <v>842.2988470191799</v>
      </c>
      <c r="O4" s="118">
        <f>'5'!O4*100/(100*'5'!M4/M4)</f>
        <v>816.41502217304765</v>
      </c>
      <c r="P4" s="119">
        <f>L4-'2'!G5</f>
        <v>-108768.76215234748</v>
      </c>
      <c r="Q4" s="119">
        <f>'5'!Q4/N73*100</f>
        <v>712.29920604404629</v>
      </c>
      <c r="R4" s="119">
        <f>N4-'2'!G5</f>
        <v>-108797.85955532831</v>
      </c>
      <c r="S4" s="119">
        <f>'5'!S4/N73*100</f>
        <v>684.09596561004446</v>
      </c>
    </row>
    <row r="5" spans="1:19">
      <c r="A5" s="13">
        <v>1970</v>
      </c>
      <c r="B5" s="52">
        <v>4951.3</v>
      </c>
      <c r="C5" s="52">
        <v>4926.6000000000004</v>
      </c>
      <c r="D5" s="52">
        <v>4989.5</v>
      </c>
      <c r="E5" s="52">
        <v>4964.8999999999996</v>
      </c>
      <c r="F5" s="52">
        <v>4485.8999999999996</v>
      </c>
      <c r="G5" s="52">
        <v>4460.3</v>
      </c>
      <c r="H5" s="52">
        <v>4524.7</v>
      </c>
      <c r="I5" s="45">
        <f>'5'!H5/'6'!$B74*100</f>
        <v>4499.2126735696902</v>
      </c>
      <c r="J5" s="45"/>
      <c r="K5" s="165">
        <v>1982</v>
      </c>
      <c r="L5" s="119">
        <v>843.61324999999999</v>
      </c>
      <c r="M5" s="118">
        <f>'5'!M5/N74*100</f>
        <v>812.47897471179544</v>
      </c>
      <c r="N5" s="118">
        <f>'5'!N5*100/(100*'5'!L5/L5)</f>
        <v>814.47615022373884</v>
      </c>
      <c r="O5" s="118">
        <f>'5'!O5*100/(100*'5'!M5/M5)</f>
        <v>784.41720475703005</v>
      </c>
      <c r="P5" s="119">
        <f>L5-'2'!G6</f>
        <v>-114504.31788285747</v>
      </c>
      <c r="Q5" s="119">
        <f>'5'!Q5/N74*100</f>
        <v>676.90255291348285</v>
      </c>
      <c r="R5" s="119">
        <f>N5-'2'!G6</f>
        <v>-114533.45498263373</v>
      </c>
      <c r="S5" s="119">
        <f>'5'!S5/N74*100</f>
        <v>648.84078295871734</v>
      </c>
    </row>
    <row r="6" spans="1:19">
      <c r="A6" s="13">
        <v>1971</v>
      </c>
      <c r="B6" s="52">
        <v>5114.3</v>
      </c>
      <c r="C6" s="52">
        <v>5072.5</v>
      </c>
      <c r="D6" s="52">
        <v>5156.3999999999996</v>
      </c>
      <c r="E6" s="52">
        <v>5114.5</v>
      </c>
      <c r="F6" s="52">
        <v>4632.6000000000004</v>
      </c>
      <c r="G6" s="52">
        <v>4589.2</v>
      </c>
      <c r="H6" s="52">
        <v>4675.3999999999996</v>
      </c>
      <c r="I6" s="45">
        <f>'5'!H6/'6'!$B75*100</f>
        <v>4641.7233560090699</v>
      </c>
      <c r="J6" s="45"/>
      <c r="K6" s="165">
        <v>1983</v>
      </c>
      <c r="L6" s="119">
        <v>865.55899999999997</v>
      </c>
      <c r="M6" s="118">
        <f>'5'!M6/N75*100</f>
        <v>834.69935678582613</v>
      </c>
      <c r="N6" s="118">
        <f>'5'!N6*100/(100*'5'!L6/L6)</f>
        <v>840.19485946248722</v>
      </c>
      <c r="O6" s="118">
        <f>'5'!O6*100/(100*'5'!M6/M6)</f>
        <v>810.23952008828473</v>
      </c>
      <c r="P6" s="119">
        <f>L6-'2'!G7</f>
        <v>-117770.1231810626</v>
      </c>
      <c r="Q6" s="119">
        <f>'5'!Q6/N75*100</f>
        <v>700.37828045179845</v>
      </c>
      <c r="R6" s="119">
        <f>N6-'2'!G7</f>
        <v>-117795.48732160011</v>
      </c>
      <c r="S6" s="119">
        <f>'5'!S6/N75*100</f>
        <v>675.91844375425728</v>
      </c>
    </row>
    <row r="7" spans="1:19">
      <c r="A7" s="13">
        <v>1972</v>
      </c>
      <c r="B7" s="52">
        <v>5383.3</v>
      </c>
      <c r="C7" s="52">
        <v>5353.1</v>
      </c>
      <c r="D7" s="52">
        <v>5428.4</v>
      </c>
      <c r="E7" s="52">
        <v>5398.2</v>
      </c>
      <c r="F7" s="52">
        <v>4886.6000000000004</v>
      </c>
      <c r="G7" s="52">
        <v>4855.3</v>
      </c>
      <c r="H7" s="52">
        <v>4932.5</v>
      </c>
      <c r="I7" s="45">
        <f>'5'!H7/'6'!$B76*100</f>
        <v>4890.4032293068276</v>
      </c>
      <c r="J7" s="45"/>
      <c r="K7" s="165">
        <v>1984</v>
      </c>
      <c r="L7" s="119">
        <v>916.70749999999998</v>
      </c>
      <c r="M7" s="118">
        <f>'5'!M7/N76*100</f>
        <v>878.47984709694003</v>
      </c>
      <c r="N7" s="118">
        <f>'5'!N7*100/(100*'5'!L7/L7)</f>
        <v>888.33794476492494</v>
      </c>
      <c r="O7" s="118">
        <f>'5'!O7*100/(100*'5'!M7/M7)</f>
        <v>851.29333171977021</v>
      </c>
      <c r="P7" s="119">
        <f>L7-'2'!G8</f>
        <v>-121377.54161093431</v>
      </c>
      <c r="Q7" s="119">
        <f>'5'!Q7/N76*100</f>
        <v>741.64022902518366</v>
      </c>
      <c r="R7" s="119">
        <f>N7-'2'!G8</f>
        <v>-121405.91116616939</v>
      </c>
      <c r="S7" s="119">
        <f>'5'!S7/N76*100</f>
        <v>714.45371364801383</v>
      </c>
    </row>
    <row r="8" spans="1:19">
      <c r="A8" s="13">
        <v>1973</v>
      </c>
      <c r="B8" s="52">
        <v>5687.2</v>
      </c>
      <c r="C8" s="52">
        <v>5662.7</v>
      </c>
      <c r="D8" s="52">
        <v>5746.4</v>
      </c>
      <c r="E8" s="52">
        <v>5721.8</v>
      </c>
      <c r="F8" s="52">
        <v>5166.8999999999996</v>
      </c>
      <c r="G8" s="52">
        <v>5141.3999999999996</v>
      </c>
      <c r="H8" s="52">
        <v>5227.3999999999996</v>
      </c>
      <c r="I8" s="45">
        <f>'5'!H8/'6'!$B77*100</f>
        <v>5169.5402298850577</v>
      </c>
      <c r="J8" s="45"/>
      <c r="K8" s="165">
        <v>1985</v>
      </c>
      <c r="L8" s="119">
        <v>960.13774999999998</v>
      </c>
      <c r="M8" s="118">
        <f>'5'!M8/N77*100</f>
        <v>917.15833672551025</v>
      </c>
      <c r="N8" s="118">
        <f>'5'!N8*100/(100*'5'!L8/L8)</f>
        <v>930.79327358805619</v>
      </c>
      <c r="O8" s="118">
        <f>'5'!O8*100/(100*'5'!M8/M8)</f>
        <v>889.12743055807823</v>
      </c>
      <c r="P8" s="119">
        <f>L8-'2'!G9</f>
        <v>-126201.53119496738</v>
      </c>
      <c r="Q8" s="119">
        <f>'5'!Q8/N77*100</f>
        <v>776.48288079009512</v>
      </c>
      <c r="R8" s="119">
        <f>N8-'2'!G9</f>
        <v>-126230.87567137931</v>
      </c>
      <c r="S8" s="119">
        <f>'5'!S8/N77*100</f>
        <v>748.45197462266322</v>
      </c>
    </row>
    <row r="9" spans="1:19">
      <c r="A9" s="13">
        <v>1974</v>
      </c>
      <c r="B9" s="52">
        <v>5656.5</v>
      </c>
      <c r="C9" s="52">
        <v>5629.2</v>
      </c>
      <c r="D9" s="52">
        <v>5723.1</v>
      </c>
      <c r="E9" s="52">
        <v>5695.7</v>
      </c>
      <c r="F9" s="52">
        <v>5103.2</v>
      </c>
      <c r="G9" s="52">
        <v>5074.8</v>
      </c>
      <c r="H9" s="52">
        <v>5171.3</v>
      </c>
      <c r="I9" s="45">
        <f>'5'!H9/'6'!$B78*100</f>
        <v>5046.0288472289521</v>
      </c>
      <c r="J9" s="45"/>
      <c r="K9" s="165">
        <v>1986</v>
      </c>
      <c r="L9" s="119">
        <v>980.71974999999986</v>
      </c>
      <c r="M9" s="118">
        <f>'5'!M9/N78*100</f>
        <v>929.3496589091086</v>
      </c>
      <c r="N9" s="118">
        <f>'5'!N9*100/(100*'5'!L9/L9)</f>
        <v>947.71448981480057</v>
      </c>
      <c r="O9" s="118">
        <f>'5'!O9*100/(100*'5'!M9/M9)</f>
        <v>898.07321393558652</v>
      </c>
      <c r="P9" s="119">
        <f>L9-'2'!G10</f>
        <v>-129886.30040007265</v>
      </c>
      <c r="Q9" s="119">
        <f>'5'!Q9/N78*100</f>
        <v>786.07237566387448</v>
      </c>
      <c r="R9" s="119">
        <f>N9-'2'!G10</f>
        <v>-129919.30566025786</v>
      </c>
      <c r="S9" s="119">
        <f>'5'!S9/N78*100</f>
        <v>754.79593069035241</v>
      </c>
    </row>
    <row r="10" spans="1:19">
      <c r="A10" s="13">
        <v>1975</v>
      </c>
      <c r="B10" s="52">
        <v>5644.8</v>
      </c>
      <c r="C10" s="52">
        <v>5600.1</v>
      </c>
      <c r="D10" s="52">
        <v>5697.7</v>
      </c>
      <c r="E10" s="52">
        <v>5652.9</v>
      </c>
      <c r="F10" s="52">
        <v>5065.8999999999996</v>
      </c>
      <c r="G10" s="52">
        <v>5019.1000000000004</v>
      </c>
      <c r="H10" s="52">
        <v>5119.6000000000004</v>
      </c>
      <c r="I10" s="45">
        <f>'5'!H10/'6'!$B79*100</f>
        <v>4983.0983030013322</v>
      </c>
      <c r="J10" s="45"/>
      <c r="K10" s="165">
        <v>1987</v>
      </c>
      <c r="L10" s="119">
        <v>1020.6575</v>
      </c>
      <c r="M10" s="118">
        <f>'5'!M10/N79*100</f>
        <v>972.97452484259588</v>
      </c>
      <c r="N10" s="118">
        <f>'5'!N10*100/(100*'5'!L10/L10)</f>
        <v>989.19329748557891</v>
      </c>
      <c r="O10" s="118">
        <f>'5'!O10*100/(100*'5'!M10/M10)</f>
        <v>942.98026379908219</v>
      </c>
      <c r="P10" s="119">
        <f>L10-'2'!G11</f>
        <v>-132179.75669078549</v>
      </c>
      <c r="Q10" s="119">
        <f>'5'!Q10/N79*100</f>
        <v>827.56715858301766</v>
      </c>
      <c r="R10" s="119">
        <f>N10-'2'!G11</f>
        <v>-132211.22089329991</v>
      </c>
      <c r="S10" s="119">
        <f>'5'!S10/N79*100</f>
        <v>797.57289753950374</v>
      </c>
    </row>
    <row r="11" spans="1:19">
      <c r="A11" s="13">
        <v>1976</v>
      </c>
      <c r="B11" s="52">
        <v>5949</v>
      </c>
      <c r="C11" s="52">
        <v>5883.4</v>
      </c>
      <c r="D11" s="52">
        <v>6011.2</v>
      </c>
      <c r="E11" s="52">
        <v>5945.5</v>
      </c>
      <c r="F11" s="52">
        <v>5358.9</v>
      </c>
      <c r="G11" s="52">
        <v>5290.2</v>
      </c>
      <c r="H11" s="52">
        <v>5422.3</v>
      </c>
      <c r="I11" s="45">
        <f>'5'!H11/'6'!$B80*100</f>
        <v>5273.886174652991</v>
      </c>
      <c r="J11" s="45"/>
      <c r="K11" s="165">
        <v>1988</v>
      </c>
      <c r="L11" s="119">
        <v>1065.6712499999999</v>
      </c>
      <c r="M11" s="118">
        <f>'5'!M11/N80*100</f>
        <v>1022.8442759583029</v>
      </c>
      <c r="N11" s="118">
        <f>'5'!N11*100/(100*'5'!L11/L11)</f>
        <v>1031.1708264474344</v>
      </c>
      <c r="O11" s="118">
        <f>'5'!O11*100/(100*'5'!M11/M11)</f>
        <v>989.73034823539706</v>
      </c>
      <c r="P11" s="119">
        <f>L11-'2'!G12</f>
        <v>-136991.71567737454</v>
      </c>
      <c r="Q11" s="119">
        <f>'5'!Q11/N80*100</f>
        <v>872.57443040894736</v>
      </c>
      <c r="R11" s="119">
        <f>N11-'2'!G12</f>
        <v>-137026.21610092712</v>
      </c>
      <c r="S11" s="119">
        <f>'5'!S11/N80*100</f>
        <v>839.46050268604142</v>
      </c>
    </row>
    <row r="12" spans="1:19">
      <c r="A12" s="13">
        <v>1977</v>
      </c>
      <c r="B12" s="52">
        <v>6224.1</v>
      </c>
      <c r="C12" s="52">
        <v>6165.9</v>
      </c>
      <c r="D12" s="52">
        <v>6293.5</v>
      </c>
      <c r="E12" s="52">
        <v>6235.3</v>
      </c>
      <c r="F12" s="52">
        <v>5613.5</v>
      </c>
      <c r="G12" s="52">
        <v>5552.5</v>
      </c>
      <c r="H12" s="52">
        <v>5684.4</v>
      </c>
      <c r="I12" s="45">
        <f>'5'!H12/'6'!$B81*100</f>
        <v>5498.6498376771133</v>
      </c>
      <c r="J12" s="45"/>
      <c r="K12" s="165">
        <v>1989</v>
      </c>
      <c r="L12" s="119">
        <v>1090.3662499999998</v>
      </c>
      <c r="M12" s="118">
        <f>'5'!M12/N81*100</f>
        <v>1049.3781238888605</v>
      </c>
      <c r="N12" s="118">
        <f>'5'!N12*100/(100*'5'!L12/L12)</f>
        <v>1052.8753561967758</v>
      </c>
      <c r="O12" s="118">
        <f>'5'!O12*100/(100*'5'!M12/M12)</f>
        <v>1013.2965560650729</v>
      </c>
      <c r="P12" s="119">
        <f>L12-'2'!G13</f>
        <v>-143601.81571074907</v>
      </c>
      <c r="Q12" s="119">
        <f>'5'!Q12/N81*100</f>
        <v>893.46999902695541</v>
      </c>
      <c r="R12" s="119">
        <f>N12-'2'!G13</f>
        <v>-143639.30660455229</v>
      </c>
      <c r="S12" s="119">
        <f>'5'!S12/N81*100</f>
        <v>857.38843120316778</v>
      </c>
    </row>
    <row r="13" spans="1:19">
      <c r="A13" s="13">
        <v>1978</v>
      </c>
      <c r="B13" s="52">
        <v>6568.6</v>
      </c>
      <c r="C13" s="52">
        <v>6503.5</v>
      </c>
      <c r="D13" s="52">
        <v>6637.8</v>
      </c>
      <c r="E13" s="52">
        <v>6572.6</v>
      </c>
      <c r="F13" s="52">
        <v>5933.9</v>
      </c>
      <c r="G13" s="52">
        <v>5865.5</v>
      </c>
      <c r="H13" s="52">
        <v>6004.6</v>
      </c>
      <c r="I13" s="45">
        <f>'5'!H13/'6'!$B82*100</f>
        <v>5793.7361952766605</v>
      </c>
      <c r="J13" s="45"/>
      <c r="K13" s="165">
        <v>1990</v>
      </c>
      <c r="L13" s="119">
        <v>1092.1495</v>
      </c>
      <c r="M13" s="118">
        <f>'5'!M13/N82*100</f>
        <v>1046.2891295806335</v>
      </c>
      <c r="N13" s="118">
        <f>'5'!N13*100/(100*'5'!L13/L13)</f>
        <v>1052.8502271350865</v>
      </c>
      <c r="O13" s="118">
        <f>'5'!O13*100/(100*'5'!M13/M13)</f>
        <v>1008.6400696314397</v>
      </c>
      <c r="P13" s="119">
        <f>L13-'2'!G14</f>
        <v>-151341.46200256562</v>
      </c>
      <c r="Q13" s="119">
        <f>'5'!Q13/N82*100</f>
        <v>885.97899303280144</v>
      </c>
      <c r="R13" s="119">
        <f>N13-'2'!G14</f>
        <v>-151380.76127543053</v>
      </c>
      <c r="S13" s="119">
        <f>'5'!S13/N82*100</f>
        <v>848.32993308360778</v>
      </c>
    </row>
    <row r="14" spans="1:19">
      <c r="A14" s="13">
        <v>1979</v>
      </c>
      <c r="B14" s="52">
        <v>6776.6</v>
      </c>
      <c r="C14" s="52">
        <v>6660.3</v>
      </c>
      <c r="D14" s="52">
        <v>6868.1</v>
      </c>
      <c r="E14" s="52">
        <v>6751.7</v>
      </c>
      <c r="F14" s="52">
        <v>6104.8</v>
      </c>
      <c r="G14" s="52">
        <v>5982.7</v>
      </c>
      <c r="H14" s="52">
        <v>6198.7</v>
      </c>
      <c r="I14" s="45">
        <f>'5'!H14/'6'!$B83*100</f>
        <v>5949.7032177444553</v>
      </c>
      <c r="J14" s="45"/>
      <c r="K14" s="165">
        <v>1991</v>
      </c>
      <c r="L14" s="119">
        <v>1069.36925</v>
      </c>
      <c r="M14" s="118">
        <f>'5'!M14/N83*100</f>
        <v>1021.5759962795908</v>
      </c>
      <c r="N14" s="118">
        <f>'5'!N14*100/(100*'5'!L14/L14)</f>
        <v>1033.9293770984709</v>
      </c>
      <c r="O14" s="118">
        <f>'5'!O14*100/(100*'5'!M14/M14)</f>
        <v>987.720035424721</v>
      </c>
      <c r="P14" s="119">
        <f>L14-'2'!G15</f>
        <v>-155311.26966662757</v>
      </c>
      <c r="Q14" s="119">
        <f>'5'!Q14/N83*100</f>
        <v>865.02365753192623</v>
      </c>
      <c r="R14" s="119">
        <f>N14-'2'!G15</f>
        <v>-155346.70953952908</v>
      </c>
      <c r="S14" s="119">
        <f>'5'!S14/N83*100</f>
        <v>831.16769667705626</v>
      </c>
    </row>
    <row r="15" spans="1:19">
      <c r="A15" s="13">
        <v>1980</v>
      </c>
      <c r="B15" s="52">
        <v>6759.2</v>
      </c>
      <c r="C15" s="52">
        <v>6654.1</v>
      </c>
      <c r="D15" s="52">
        <v>6849.8</v>
      </c>
      <c r="E15" s="52">
        <v>6744.6</v>
      </c>
      <c r="F15" s="52">
        <v>6041.6</v>
      </c>
      <c r="G15" s="52">
        <v>5931.1</v>
      </c>
      <c r="H15" s="52">
        <v>6134.6</v>
      </c>
      <c r="I15" s="45">
        <f>'5'!H15/'6'!$B84*100</f>
        <v>5807.9652903864744</v>
      </c>
      <c r="J15" s="45"/>
      <c r="K15" s="165">
        <v>1992</v>
      </c>
      <c r="L15" s="119">
        <v>1078.9994999999999</v>
      </c>
      <c r="M15" s="118">
        <f>'5'!M15/N84*100</f>
        <v>1026.7807896522895</v>
      </c>
      <c r="N15" s="118">
        <f>'5'!N15*100/(100*'5'!L15/L15)</f>
        <v>1040.3195675326372</v>
      </c>
      <c r="O15" s="118">
        <f>'5'!O15*100/(100*'5'!M15/M15)</f>
        <v>989.97279149980113</v>
      </c>
      <c r="P15" s="119">
        <f>L15-'2'!G16</f>
        <v>-159288.98040363373</v>
      </c>
      <c r="Q15" s="119">
        <f>'5'!Q15/N84*100</f>
        <v>867.74205351753631</v>
      </c>
      <c r="R15" s="119">
        <f>N15-'2'!G16</f>
        <v>-159327.66033610111</v>
      </c>
      <c r="S15" s="119">
        <f>'5'!S15/N84*100</f>
        <v>830.93405536504804</v>
      </c>
    </row>
    <row r="16" spans="1:19">
      <c r="A16" s="13">
        <v>1981</v>
      </c>
      <c r="B16" s="52">
        <v>6930.7</v>
      </c>
      <c r="C16" s="52">
        <v>6848.4</v>
      </c>
      <c r="D16" s="52">
        <v>7011.2</v>
      </c>
      <c r="E16" s="52">
        <v>6928.8</v>
      </c>
      <c r="F16" s="52">
        <v>6181.3</v>
      </c>
      <c r="G16" s="52">
        <v>6094.7</v>
      </c>
      <c r="H16" s="52">
        <v>6263.5</v>
      </c>
      <c r="I16" s="45">
        <f>'5'!H16/'6'!$B85*100</f>
        <v>5944.0725545238602</v>
      </c>
      <c r="J16" s="45"/>
      <c r="K16" s="165">
        <v>1993</v>
      </c>
      <c r="L16" s="119">
        <v>1107.70975</v>
      </c>
      <c r="M16" s="118">
        <f>'5'!M16/N85*100</f>
        <v>1048.6918619678611</v>
      </c>
      <c r="N16" s="118">
        <f>'5'!N16*100/(100*'5'!L16/L16)</f>
        <v>1070.059258701516</v>
      </c>
      <c r="O16" s="118">
        <f>'5'!O16*100/(100*'5'!M16/M16)</f>
        <v>1013.0473586818587</v>
      </c>
      <c r="P16" s="119">
        <f>L16-'2'!G17</f>
        <v>-161343.48008238297</v>
      </c>
      <c r="Q16" s="119">
        <f>'5'!Q16/N85*100</f>
        <v>888.40881651149402</v>
      </c>
      <c r="R16" s="119">
        <f>N16-'2'!G17</f>
        <v>-161381.13057368147</v>
      </c>
      <c r="S16" s="119">
        <f>'5'!S16/N85*100</f>
        <v>852.76431322549172</v>
      </c>
    </row>
    <row r="17" spans="1:19">
      <c r="A17" s="13">
        <v>1982</v>
      </c>
      <c r="B17" s="52">
        <v>6805.8</v>
      </c>
      <c r="C17" s="52">
        <v>6787.8</v>
      </c>
      <c r="D17" s="52">
        <v>6889.4</v>
      </c>
      <c r="E17" s="52">
        <v>6871.3</v>
      </c>
      <c r="F17" s="52">
        <v>6007.2</v>
      </c>
      <c r="G17" s="52">
        <v>5988.3</v>
      </c>
      <c r="H17" s="52">
        <v>6092.7</v>
      </c>
      <c r="I17" s="45">
        <f>'5'!H17/'6'!$B86*100</f>
        <v>5801.8242291917486</v>
      </c>
      <c r="J17" s="45"/>
      <c r="K17" s="165">
        <v>1994</v>
      </c>
      <c r="L17" s="119">
        <v>1157.4970000000001</v>
      </c>
      <c r="M17" s="118">
        <f>'5'!M17/N86*100</f>
        <v>1093.1688808342451</v>
      </c>
      <c r="N17" s="118">
        <f>'5'!N17*100/(100*'5'!L17/L17)</f>
        <v>1116.0383387536474</v>
      </c>
      <c r="O17" s="118">
        <f>'5'!O17*100/(100*'5'!M17/M17)</f>
        <v>1054.0142926879596</v>
      </c>
      <c r="P17" s="119">
        <f>L17-'2'!G18</f>
        <v>-164464.83058989292</v>
      </c>
      <c r="Q17" s="119">
        <f>'5'!Q17/N86*100</f>
        <v>927.12697987165461</v>
      </c>
      <c r="R17" s="119">
        <f>N17-'2'!G18</f>
        <v>-164506.28925113927</v>
      </c>
      <c r="S17" s="119">
        <f>'5'!S17/N86*100</f>
        <v>887.97239172536899</v>
      </c>
    </row>
    <row r="18" spans="1:19">
      <c r="A18" s="13">
        <v>1983</v>
      </c>
      <c r="B18" s="52">
        <v>7117.7</v>
      </c>
      <c r="C18" s="52">
        <v>7006.2</v>
      </c>
      <c r="D18" s="52">
        <v>7199.4</v>
      </c>
      <c r="E18" s="52">
        <v>7087.7</v>
      </c>
      <c r="F18" s="52">
        <v>6296.6</v>
      </c>
      <c r="G18" s="52">
        <v>6179.8</v>
      </c>
      <c r="H18" s="52">
        <v>6380</v>
      </c>
      <c r="I18" s="45">
        <f>'5'!H18/'6'!$B87*100</f>
        <v>6129.4711519501516</v>
      </c>
      <c r="J18" s="45"/>
      <c r="K18" s="165">
        <v>1995</v>
      </c>
      <c r="L18" s="119">
        <v>1188.6570000000002</v>
      </c>
      <c r="M18" s="118">
        <f>'5'!M18/N87*100</f>
        <v>1134.2720204343177</v>
      </c>
      <c r="N18" s="118">
        <f>'5'!N18*100/(100*'5'!L18/L18)</f>
        <v>1147.7083571093588</v>
      </c>
      <c r="O18" s="118">
        <f>'5'!O18*100/(100*'5'!M18/M18)</f>
        <v>1095.1969130605241</v>
      </c>
      <c r="P18" s="119">
        <f>L18-'2'!G19</f>
        <v>-170350.03270889385</v>
      </c>
      <c r="Q18" s="119">
        <f>'5'!Q18/N87*100</f>
        <v>963.17111655653343</v>
      </c>
      <c r="R18" s="119">
        <f>N18-'2'!G19</f>
        <v>-170390.98135178449</v>
      </c>
      <c r="S18" s="119">
        <f>'5'!S18/N87*100</f>
        <v>924.09600918273998</v>
      </c>
    </row>
    <row r="19" spans="1:19">
      <c r="A19" s="13">
        <v>1984</v>
      </c>
      <c r="B19" s="52">
        <v>7632.8</v>
      </c>
      <c r="C19" s="52">
        <v>7554.2</v>
      </c>
      <c r="D19" s="52">
        <v>7711.1</v>
      </c>
      <c r="E19" s="52">
        <v>7632.3</v>
      </c>
      <c r="F19" s="52">
        <v>6786.3</v>
      </c>
      <c r="G19" s="52">
        <v>6704.2</v>
      </c>
      <c r="H19" s="52">
        <v>6866</v>
      </c>
      <c r="I19" s="45">
        <f>'5'!H19/'6'!$B88*100</f>
        <v>6628.9648858456185</v>
      </c>
      <c r="J19" s="45"/>
      <c r="K19" s="165">
        <v>1996</v>
      </c>
      <c r="L19" s="119">
        <v>1207.9005000000002</v>
      </c>
      <c r="M19" s="118">
        <f>'5'!M19/N88*100</f>
        <v>1159.5369835780637</v>
      </c>
      <c r="N19" s="118">
        <f>'5'!N19*100/(100*'5'!L19/L19)</f>
        <v>1167.7666307110335</v>
      </c>
      <c r="O19" s="118">
        <f>'5'!O19*100/(100*'5'!M19/M19)</f>
        <v>1121.0100471833484</v>
      </c>
      <c r="P19" s="119">
        <f>L19-'2'!G20</f>
        <v>-177274.24214130058</v>
      </c>
      <c r="Q19" s="119">
        <f>'5'!Q19/N88*100</f>
        <v>983.00464060451918</v>
      </c>
      <c r="R19" s="119">
        <f>N19-'2'!G20</f>
        <v>-177314.37601058953</v>
      </c>
      <c r="S19" s="119">
        <f>'5'!S19/N88*100</f>
        <v>944.47770420980396</v>
      </c>
    </row>
    <row r="20" spans="1:19">
      <c r="A20" s="13">
        <v>1985</v>
      </c>
      <c r="B20" s="52">
        <v>7951.1</v>
      </c>
      <c r="C20" s="52">
        <v>7851.6</v>
      </c>
      <c r="D20" s="52">
        <v>8007.5</v>
      </c>
      <c r="E20" s="52">
        <v>7908</v>
      </c>
      <c r="F20" s="52">
        <v>7054</v>
      </c>
      <c r="G20" s="52">
        <v>6950.5</v>
      </c>
      <c r="H20" s="52">
        <v>7110.9</v>
      </c>
      <c r="I20" s="45">
        <f>'5'!H20/'6'!$B89*100</f>
        <v>6894.2409152335285</v>
      </c>
      <c r="J20" s="45"/>
      <c r="K20" s="165">
        <v>1997</v>
      </c>
      <c r="L20" s="119">
        <v>1259.59375</v>
      </c>
      <c r="M20" s="118">
        <f>'5'!M20/N89*100</f>
        <v>1204.9420302123635</v>
      </c>
      <c r="N20" s="118">
        <f>'5'!N20*100/(100*'5'!L20/L20)</f>
        <v>1220.519686496923</v>
      </c>
      <c r="O20" s="118">
        <f>'5'!O20*100/(100*'5'!M20/M20)</f>
        <v>1167.5633266374655</v>
      </c>
      <c r="P20" s="119">
        <f>L20-'2'!G21</f>
        <v>-183671.10920756779</v>
      </c>
      <c r="Q20" s="119">
        <f>'5'!Q20/N89*100</f>
        <v>1021.0353010072776</v>
      </c>
      <c r="R20" s="119">
        <f>N20-'2'!G21</f>
        <v>-183710.18327107085</v>
      </c>
      <c r="S20" s="119">
        <f>'5'!S20/N89*100</f>
        <v>983.6565974323795</v>
      </c>
    </row>
    <row r="21" spans="1:19">
      <c r="A21" s="13">
        <v>1986</v>
      </c>
      <c r="B21" s="52">
        <v>8226.4</v>
      </c>
      <c r="C21" s="52">
        <v>8082.6</v>
      </c>
      <c r="D21" s="52">
        <v>8266.4</v>
      </c>
      <c r="E21" s="52">
        <v>8122.4</v>
      </c>
      <c r="F21" s="52">
        <v>7279.3</v>
      </c>
      <c r="G21" s="52">
        <v>7129.7</v>
      </c>
      <c r="H21" s="52">
        <v>7319</v>
      </c>
      <c r="I21" s="45">
        <f>'5'!H21/'6'!$B90*100</f>
        <v>7090.1839934741229</v>
      </c>
      <c r="J21" s="45"/>
      <c r="K21" s="165">
        <v>1998</v>
      </c>
      <c r="L21" s="119">
        <v>1308.6950000000002</v>
      </c>
      <c r="M21" s="118">
        <f>'5'!M21/N90*100</f>
        <v>1231.5137159907083</v>
      </c>
      <c r="N21" s="118">
        <f>'5'!N21*100/(100*'5'!L21/L21)</f>
        <v>1264.6630296394826</v>
      </c>
      <c r="O21" s="118">
        <f>'5'!O21*100/(100*'5'!M21/M21)</f>
        <v>1190.0785646062575</v>
      </c>
      <c r="P21" s="119">
        <f>L21-'2'!G22</f>
        <v>-192989.75643362029</v>
      </c>
      <c r="Q21" s="119">
        <f>'5'!Q21/N90*100</f>
        <v>1037.7904711659053</v>
      </c>
      <c r="R21" s="119">
        <f>N21-'2'!G22</f>
        <v>-193033.78840398081</v>
      </c>
      <c r="S21" s="119">
        <f>'5'!S21/N90*100</f>
        <v>996.35531978145423</v>
      </c>
    </row>
    <row r="22" spans="1:19">
      <c r="A22" s="13">
        <v>1987</v>
      </c>
      <c r="B22" s="52">
        <v>8511</v>
      </c>
      <c r="C22" s="52">
        <v>8434.2000000000007</v>
      </c>
      <c r="D22" s="52">
        <v>8549.1</v>
      </c>
      <c r="E22" s="52">
        <v>8472.2000000000007</v>
      </c>
      <c r="F22" s="52">
        <v>7514.3</v>
      </c>
      <c r="G22" s="52">
        <v>7434.5</v>
      </c>
      <c r="H22" s="52">
        <v>7552</v>
      </c>
      <c r="I22" s="45">
        <f>'5'!H22/'6'!$B91*100</f>
        <v>7303.1964597401229</v>
      </c>
      <c r="J22" s="45"/>
      <c r="K22" s="165">
        <v>1999</v>
      </c>
      <c r="L22" s="119">
        <v>1376.2359999999999</v>
      </c>
      <c r="M22" s="118">
        <f>'5'!M22/N91*100</f>
        <v>1301.4974146934526</v>
      </c>
      <c r="N22" s="118">
        <f>'5'!N22*100/(100*'5'!L22/L22)</f>
        <v>1329.9137876882351</v>
      </c>
      <c r="O22" s="118">
        <f>'5'!O22*100/(100*'5'!M22/M22)</f>
        <v>1257.6908004451384</v>
      </c>
      <c r="P22" s="119">
        <f>L22-'2'!G23</f>
        <v>-201941.26202657903</v>
      </c>
      <c r="Q22" s="119">
        <f>'5'!Q22/N91*100</f>
        <v>1101.4461335609521</v>
      </c>
      <c r="R22" s="119">
        <f>N22-'2'!G23</f>
        <v>-201987.58423889079</v>
      </c>
      <c r="S22" s="119">
        <f>'5'!S22/N91*100</f>
        <v>1057.639519312638</v>
      </c>
    </row>
    <row r="23" spans="1:19">
      <c r="A23" s="13">
        <v>1988</v>
      </c>
      <c r="B23" s="52">
        <v>8866.5</v>
      </c>
      <c r="C23" s="52">
        <v>8861.4</v>
      </c>
      <c r="D23" s="52">
        <v>8912.2999999999993</v>
      </c>
      <c r="E23" s="52">
        <v>8907.2000000000007</v>
      </c>
      <c r="F23" s="52">
        <v>7827.1</v>
      </c>
      <c r="G23" s="52">
        <v>7821.8</v>
      </c>
      <c r="H23" s="52">
        <v>7872.6</v>
      </c>
      <c r="I23" s="45">
        <f>'5'!H23/'6'!$B92*100</f>
        <v>7615.692281507957</v>
      </c>
      <c r="J23" s="45"/>
      <c r="K23" s="165">
        <v>2000</v>
      </c>
      <c r="L23" s="119">
        <v>1447.5084999999999</v>
      </c>
      <c r="M23" s="118">
        <f>'5'!M23/N92*100</f>
        <v>1392.0900882179874</v>
      </c>
      <c r="N23" s="118">
        <f>'5'!N23*100/(100*'5'!L23/L23)</f>
        <v>1409.5284788813256</v>
      </c>
      <c r="O23" s="118">
        <f>'5'!O23*100/(100*'5'!M23/M23)</f>
        <v>1355.5641466089285</v>
      </c>
      <c r="P23" s="119">
        <f>L23-'2'!G24</f>
        <v>-212326.01185176775</v>
      </c>
      <c r="Q23" s="119">
        <f>'5'!Q23/N92*100</f>
        <v>1184.2555799706656</v>
      </c>
      <c r="R23" s="119">
        <f>N23-'2'!G24</f>
        <v>-212363.99187288643</v>
      </c>
      <c r="S23" s="119">
        <f>'5'!S23/N92*100</f>
        <v>1147.7296383616065</v>
      </c>
    </row>
    <row r="24" spans="1:19">
      <c r="A24" s="13">
        <v>1989</v>
      </c>
      <c r="B24" s="52">
        <v>9192.1</v>
      </c>
      <c r="C24" s="52">
        <v>9081.4</v>
      </c>
      <c r="D24" s="52">
        <v>9239.2000000000007</v>
      </c>
      <c r="E24" s="52">
        <v>9128.2999999999993</v>
      </c>
      <c r="F24" s="52">
        <v>8108.5</v>
      </c>
      <c r="G24" s="52">
        <v>7993.7</v>
      </c>
      <c r="H24" s="52">
        <v>8155.3</v>
      </c>
      <c r="I24" s="45">
        <f>'5'!H24/'6'!$B93*100</f>
        <v>7905.3279627992279</v>
      </c>
      <c r="J24" s="45"/>
      <c r="K24" s="165">
        <v>2001</v>
      </c>
      <c r="L24" s="119">
        <v>1473.4054999999998</v>
      </c>
      <c r="M24" s="118">
        <f>'5'!M24/N93*100</f>
        <v>1412.551846931952</v>
      </c>
      <c r="N24" s="118">
        <f>'5'!N24*100/(100*'5'!L24/L24)</f>
        <v>1431.918326586477</v>
      </c>
      <c r="O24" s="118">
        <f>'5'!O24*100/(100*'5'!M24/M24)</f>
        <v>1372.7781502617156</v>
      </c>
      <c r="P24" s="119">
        <f>L24-'2'!G25</f>
        <v>-222527.34381060087</v>
      </c>
      <c r="Q24" s="119">
        <f>'5'!Q24/N93*100</f>
        <v>1195.8507963797181</v>
      </c>
      <c r="R24" s="119">
        <f>N24-'2'!G25</f>
        <v>-222568.83098401438</v>
      </c>
      <c r="S24" s="119">
        <f>'5'!S24/N93*100</f>
        <v>1156.0770997094814</v>
      </c>
    </row>
    <row r="25" spans="1:19">
      <c r="A25" s="13">
        <v>1990</v>
      </c>
      <c r="B25" s="52">
        <v>9365.5</v>
      </c>
      <c r="C25" s="52">
        <v>9215.4</v>
      </c>
      <c r="D25" s="52">
        <v>9425.1</v>
      </c>
      <c r="E25" s="52">
        <v>9274.9</v>
      </c>
      <c r="F25" s="52">
        <v>8235.2999999999993</v>
      </c>
      <c r="G25" s="52">
        <v>8080.3</v>
      </c>
      <c r="H25" s="52">
        <v>8295</v>
      </c>
      <c r="I25" s="45">
        <f>'5'!H25/'6'!$B94*100</f>
        <v>8045.5082276986059</v>
      </c>
      <c r="J25" s="45"/>
      <c r="K25" s="165">
        <v>2002</v>
      </c>
      <c r="L25" s="119">
        <v>1517.856</v>
      </c>
      <c r="M25" s="118">
        <f>'5'!M25/N94*100</f>
        <v>1439.5984358439443</v>
      </c>
      <c r="N25" s="118">
        <f>'5'!N25*100/(100*'5'!L25/L25)</f>
        <v>1479.4495143601303</v>
      </c>
      <c r="O25" s="118">
        <f>'5'!O25*100/(100*'5'!M25/M25)</f>
        <v>1403.1721103865757</v>
      </c>
      <c r="P25" s="119">
        <f>L25-'2'!G26</f>
        <v>-227181.96308111615</v>
      </c>
      <c r="Q25" s="119">
        <f>'5'!Q25/N94*100</f>
        <v>1218.3124885233638</v>
      </c>
      <c r="R25" s="119">
        <f>N25-'2'!G26</f>
        <v>-227220.36956675601</v>
      </c>
      <c r="S25" s="119">
        <f>'5'!S25/N94*100</f>
        <v>1181.8861630659947</v>
      </c>
    </row>
    <row r="26" spans="1:19">
      <c r="A26" s="13">
        <v>1991</v>
      </c>
      <c r="B26" s="52">
        <v>9355.4</v>
      </c>
      <c r="C26" s="52">
        <v>9214.1</v>
      </c>
      <c r="D26" s="52">
        <v>9406.7000000000007</v>
      </c>
      <c r="E26" s="52">
        <v>9265.4</v>
      </c>
      <c r="F26" s="52">
        <v>8183.1</v>
      </c>
      <c r="G26" s="52">
        <v>8037.5</v>
      </c>
      <c r="H26" s="52">
        <v>8234.2000000000007</v>
      </c>
      <c r="I26" s="45">
        <f>'5'!H26/'6'!$B95*100</f>
        <v>8025.6770372179644</v>
      </c>
      <c r="J26" s="45"/>
      <c r="K26" s="165">
        <v>2003</v>
      </c>
      <c r="L26" s="119">
        <v>1545.1909999999998</v>
      </c>
      <c r="M26" s="118">
        <f>'5'!M26/N95*100</f>
        <v>1489.5928344662987</v>
      </c>
      <c r="N26" s="118">
        <f>'5'!N26*100/(100*'5'!L26/L26)</f>
        <v>1507.182477889824</v>
      </c>
      <c r="O26" s="118">
        <f>'5'!O26*100/(100*'5'!M26/M26)</f>
        <v>1452.9519129336388</v>
      </c>
      <c r="P26" s="119">
        <f>L26-'2'!G27</f>
        <v>-230346.77120832869</v>
      </c>
      <c r="Q26" s="119">
        <f>'5'!Q26/N95*100</f>
        <v>1268.5078961827276</v>
      </c>
      <c r="R26" s="119">
        <f>N26-'2'!G27</f>
        <v>-230384.77973043887</v>
      </c>
      <c r="S26" s="119">
        <f>'5'!S26/N95*100</f>
        <v>1231.8669746500677</v>
      </c>
    </row>
    <row r="27" spans="1:19">
      <c r="A27" s="13">
        <v>1992</v>
      </c>
      <c r="B27" s="52">
        <v>9684.9</v>
      </c>
      <c r="C27" s="52">
        <v>9512.7000000000007</v>
      </c>
      <c r="D27" s="52">
        <v>9734.7000000000007</v>
      </c>
      <c r="E27" s="52">
        <v>9562.4</v>
      </c>
      <c r="F27" s="52">
        <v>8484.9</v>
      </c>
      <c r="G27" s="52">
        <v>8308</v>
      </c>
      <c r="H27" s="52">
        <v>8534.4</v>
      </c>
      <c r="I27" s="45">
        <f>'5'!H27/'6'!$B96*100</f>
        <v>8340.4686963915447</v>
      </c>
      <c r="J27" s="45"/>
      <c r="K27" s="165">
        <v>2004</v>
      </c>
      <c r="L27" s="119">
        <v>1592.8955000000001</v>
      </c>
      <c r="M27" s="118">
        <f>'5'!M27/N96*100</f>
        <v>1557.5827188648057</v>
      </c>
      <c r="N27" s="118">
        <f>'5'!N27*100/(100*'5'!L27/L27)</f>
        <v>1558.5624373477885</v>
      </c>
      <c r="O27" s="118">
        <f>'5'!O27*100/(100*'5'!M27/M27)</f>
        <v>1524.010783309217</v>
      </c>
      <c r="P27" s="119">
        <f>L27-'2'!G28</f>
        <v>-233528.12778532621</v>
      </c>
      <c r="Q27" s="119">
        <f>'5'!Q27/N96*100</f>
        <v>1332.0560411205356</v>
      </c>
      <c r="R27" s="119">
        <f>N27-'2'!G28</f>
        <v>-233562.46084797845</v>
      </c>
      <c r="S27" s="119">
        <f>'5'!S27/N96*100</f>
        <v>1298.4841055649465</v>
      </c>
    </row>
    <row r="28" spans="1:19">
      <c r="A28" s="13">
        <v>1993</v>
      </c>
      <c r="B28" s="52">
        <v>9951.5</v>
      </c>
      <c r="C28" s="52">
        <v>9725.2000000000007</v>
      </c>
      <c r="D28" s="52">
        <v>10000.799999999999</v>
      </c>
      <c r="E28" s="52">
        <v>9774.5</v>
      </c>
      <c r="F28" s="52">
        <v>8715.2000000000007</v>
      </c>
      <c r="G28" s="52">
        <v>8483</v>
      </c>
      <c r="H28" s="52">
        <v>8764.1</v>
      </c>
      <c r="I28" s="45">
        <f>'5'!H28/'6'!$B97*100</f>
        <v>8586.2239985996439</v>
      </c>
      <c r="J28" s="45"/>
      <c r="K28" s="165">
        <v>2005</v>
      </c>
      <c r="L28" s="119">
        <v>1643.9145000000001</v>
      </c>
      <c r="M28" s="118">
        <f>'5'!M28/N97*100</f>
        <v>1623.7226427815037</v>
      </c>
      <c r="N28" s="118">
        <f>'5'!N28*100/(100*'5'!L28/L28)</f>
        <v>1610.3012445535646</v>
      </c>
      <c r="O28" s="118">
        <f>'5'!O28*100/(100*'5'!M28/M28)</f>
        <v>1590.5222519059589</v>
      </c>
      <c r="P28" s="119">
        <f>L28-'2'!G29</f>
        <v>-241784.90718463415</v>
      </c>
      <c r="Q28" s="119">
        <f>'5'!Q28/N97*100</f>
        <v>1390.3787320532665</v>
      </c>
      <c r="R28" s="119">
        <f>N28-'2'!G29</f>
        <v>-241818.52044008061</v>
      </c>
      <c r="S28" s="119">
        <f>'5'!S28/N97*100</f>
        <v>1357.1783411777217</v>
      </c>
    </row>
    <row r="29" spans="1:19">
      <c r="A29" s="13">
        <v>1994</v>
      </c>
      <c r="B29" s="52">
        <v>10352.4</v>
      </c>
      <c r="C29" s="52">
        <v>10153.6</v>
      </c>
      <c r="D29" s="52">
        <v>10389.700000000001</v>
      </c>
      <c r="E29" s="52">
        <v>10190.799999999999</v>
      </c>
      <c r="F29" s="52">
        <v>9075.9</v>
      </c>
      <c r="G29" s="52">
        <v>8872.1</v>
      </c>
      <c r="H29" s="52">
        <v>9112.4</v>
      </c>
      <c r="I29" s="45">
        <f>'5'!H29/'6'!$B98*100</f>
        <v>8935.2705038643417</v>
      </c>
      <c r="J29" s="45"/>
      <c r="K29" s="165">
        <v>2006</v>
      </c>
      <c r="L29" s="119">
        <v>1687.2247499999999</v>
      </c>
      <c r="M29" s="118">
        <f>'5'!M29/N98*100</f>
        <v>1671.3879936882506</v>
      </c>
      <c r="N29" s="118">
        <f>'5'!N29*100/(100*'5'!L29/L29)</f>
        <v>1660.374759056697</v>
      </c>
      <c r="O29" s="118">
        <f>'5'!O29*100/(100*'5'!M29/M29)</f>
        <v>1644.7900241567613</v>
      </c>
      <c r="P29" s="119">
        <f>L29-'2'!G30</f>
        <v>-250020.71139350921</v>
      </c>
      <c r="Q29" s="119">
        <f>'5'!Q29/N98*100</f>
        <v>1426.4512502507682</v>
      </c>
      <c r="R29" s="119">
        <f>N29-'2'!G30</f>
        <v>-250047.56138445251</v>
      </c>
      <c r="S29" s="119">
        <f>'5'!S29/N98*100</f>
        <v>1399.8532807192792</v>
      </c>
    </row>
    <row r="30" spans="1:19">
      <c r="A30" s="13">
        <v>1995</v>
      </c>
      <c r="B30" s="52">
        <v>10630.3</v>
      </c>
      <c r="C30" s="52">
        <v>10500.9</v>
      </c>
      <c r="D30" s="52">
        <v>10672.8</v>
      </c>
      <c r="E30" s="52">
        <v>10543.4</v>
      </c>
      <c r="F30" s="52">
        <v>9299.7999999999993</v>
      </c>
      <c r="G30" s="52">
        <v>9167.1</v>
      </c>
      <c r="H30" s="52">
        <v>9341.7000000000007</v>
      </c>
      <c r="I30" s="45">
        <f>'5'!H30/'6'!$B99*100</f>
        <v>9151.9617438966416</v>
      </c>
      <c r="J30" s="45"/>
      <c r="K30" s="165">
        <v>2007</v>
      </c>
      <c r="L30" s="119">
        <v>1722.1972499999999</v>
      </c>
      <c r="M30" s="118">
        <f>'5'!M30/N99*100</f>
        <v>1719.7077495964702</v>
      </c>
      <c r="N30" s="118">
        <f>'5'!N30*100/(100*'5'!L30/L30)</f>
        <v>1696.8467080355297</v>
      </c>
      <c r="O30" s="118">
        <f>'5'!O30*100/(100*'5'!M30/M30)</f>
        <v>1694.3938527865839</v>
      </c>
      <c r="P30" s="119">
        <f>L30-'2'!G31</f>
        <v>-257754.8086892603</v>
      </c>
      <c r="Q30" s="119">
        <f>'5'!Q30/N99*100</f>
        <v>1462.9553134734601</v>
      </c>
      <c r="R30" s="119">
        <f>N30-'2'!G31</f>
        <v>-257780.15923122477</v>
      </c>
      <c r="S30" s="119">
        <f>'5'!S30/N99*100</f>
        <v>1437.6414166635741</v>
      </c>
    </row>
    <row r="31" spans="1:19">
      <c r="A31" s="13">
        <v>1996</v>
      </c>
      <c r="B31" s="52">
        <v>11031.4</v>
      </c>
      <c r="C31" s="52">
        <v>10952</v>
      </c>
      <c r="D31" s="52">
        <v>11076.9</v>
      </c>
      <c r="E31" s="52">
        <v>10997.5</v>
      </c>
      <c r="F31" s="52">
        <v>9642.2000000000007</v>
      </c>
      <c r="G31" s="52">
        <v>9561</v>
      </c>
      <c r="H31" s="52">
        <v>9687.1</v>
      </c>
      <c r="I31" s="45">
        <f>'5'!H31/'6'!$B100*100</f>
        <v>9519.5372609364676</v>
      </c>
      <c r="J31" s="45"/>
      <c r="K31" s="165">
        <v>2008</v>
      </c>
      <c r="L31" s="119">
        <v>1739.5504999999998</v>
      </c>
      <c r="M31" s="118">
        <f>'5'!M31/N100*100</f>
        <v>1762.1032664257389</v>
      </c>
      <c r="N31" s="118">
        <f>'5'!N31*100/(100*'5'!L31/L31)</f>
        <v>1713.9922483244241</v>
      </c>
      <c r="O31" s="118">
        <f>'5'!O31*100/(100*'5'!M31/M31)</f>
        <v>1736.2136594487276</v>
      </c>
      <c r="P31" s="119">
        <f>L31-'2'!G32</f>
        <v>-270361.26723185094</v>
      </c>
      <c r="Q31" s="119">
        <f>'5'!Q31/N100*100</f>
        <v>1489.1872928363146</v>
      </c>
      <c r="R31" s="119">
        <f>N31-'2'!G32</f>
        <v>-270386.82548352651</v>
      </c>
      <c r="S31" s="119">
        <f>'5'!S31/N100*100</f>
        <v>1463.2976858593031</v>
      </c>
    </row>
    <row r="32" spans="1:19">
      <c r="A32" s="13">
        <v>1997</v>
      </c>
      <c r="B32" s="52">
        <v>11521.9</v>
      </c>
      <c r="C32" s="52">
        <v>11506.4</v>
      </c>
      <c r="D32" s="52">
        <v>11556.7</v>
      </c>
      <c r="E32" s="52">
        <v>11541.2</v>
      </c>
      <c r="F32" s="52">
        <v>10061.299999999999</v>
      </c>
      <c r="G32" s="52">
        <v>10045.5</v>
      </c>
      <c r="H32" s="52">
        <v>10095.200000000001</v>
      </c>
      <c r="I32" s="45">
        <f>'5'!H32/'6'!$B101*100</f>
        <v>9964.2658942324597</v>
      </c>
      <c r="J32" s="45"/>
      <c r="K32" s="165">
        <v>2009</v>
      </c>
      <c r="L32" s="119">
        <v>1688.6095</v>
      </c>
      <c r="M32" s="118">
        <f>'5'!M32/N101*100</f>
        <v>1652.6050545831306</v>
      </c>
      <c r="N32" s="118">
        <f>'5'!N32*100/(100*'5'!L32/L32)</f>
        <v>1659.5341928838809</v>
      </c>
      <c r="O32" s="118">
        <f>'5'!O32*100/(100*'5'!M32/M32)</f>
        <v>1624.14968967866</v>
      </c>
      <c r="P32" s="119">
        <f>L32-'2'!G33</f>
        <v>-278289.65494184673</v>
      </c>
      <c r="Q32" s="119">
        <f>'5'!Q32/N101*100</f>
        <v>1370.4398640577215</v>
      </c>
      <c r="R32" s="119">
        <f>N32-'2'!G33</f>
        <v>-278318.73024896288</v>
      </c>
      <c r="S32" s="119">
        <f>'5'!S32/N101*100</f>
        <v>1341.9844991532511</v>
      </c>
    </row>
    <row r="33" spans="1:44">
      <c r="A33" s="13">
        <v>1998</v>
      </c>
      <c r="B33" s="52">
        <v>12038.3</v>
      </c>
      <c r="C33" s="52">
        <v>12111.7</v>
      </c>
      <c r="D33" s="52">
        <v>12064.6</v>
      </c>
      <c r="E33" s="52">
        <v>12138</v>
      </c>
      <c r="F33" s="52">
        <v>10490</v>
      </c>
      <c r="G33" s="52">
        <v>10564.8</v>
      </c>
      <c r="H33" s="52">
        <v>10515.2</v>
      </c>
      <c r="I33" s="45">
        <f>'5'!H33/'6'!$B102*100</f>
        <v>10443.518580740541</v>
      </c>
      <c r="J33" s="45"/>
      <c r="K33" s="165">
        <v>2010</v>
      </c>
      <c r="L33" s="119">
        <v>1740.779</v>
      </c>
      <c r="M33" s="118">
        <f>'5'!M33/N102*100</f>
        <v>1733.7110919174449</v>
      </c>
      <c r="N33" s="118">
        <f>'5'!N33*100/(100*'5'!L33/L33)</f>
        <v>1706.3739856684713</v>
      </c>
      <c r="O33" s="118">
        <f>'5'!O33*100/(100*'5'!M33/M33)</f>
        <v>1699.4457687695037</v>
      </c>
      <c r="P33" s="119">
        <f>L33-'2'!G34</f>
        <v>-279060.81773368496</v>
      </c>
      <c r="Q33" s="119">
        <f>'5'!Q33/N102*100</f>
        <v>1453.6851060348683</v>
      </c>
      <c r="R33" s="119">
        <f>N33-'2'!G34</f>
        <v>-279095.22274801647</v>
      </c>
      <c r="S33" s="119">
        <f>'5'!S33/N102*100</f>
        <v>1419.4197828869276</v>
      </c>
    </row>
    <row r="34" spans="1:44">
      <c r="A34" s="13">
        <v>1999</v>
      </c>
      <c r="B34" s="52">
        <v>12610.5</v>
      </c>
      <c r="C34" s="52">
        <v>12653.9</v>
      </c>
      <c r="D34" s="52">
        <v>12647.6</v>
      </c>
      <c r="E34" s="52">
        <v>12691.1</v>
      </c>
      <c r="F34" s="52">
        <v>10961.9</v>
      </c>
      <c r="G34" s="52">
        <v>11006</v>
      </c>
      <c r="H34" s="52">
        <v>10998</v>
      </c>
      <c r="I34" s="45">
        <f>'5'!H34/'6'!$B103*100</f>
        <v>10925.823012596591</v>
      </c>
      <c r="J34" s="45"/>
      <c r="K34" s="165">
        <v>2011</v>
      </c>
      <c r="L34" s="119">
        <v>1795.55925</v>
      </c>
      <c r="M34" s="118">
        <f>'5'!M34/N103*100</f>
        <v>1803.3542662510761</v>
      </c>
      <c r="N34" s="118">
        <f>'5'!N34*100/(100*'5'!L34/L34)</f>
        <v>1761.6442227950756</v>
      </c>
      <c r="O34" s="118">
        <f>'5'!O34*100/(100*'5'!M34/M34)</f>
        <v>1769.292004590804</v>
      </c>
      <c r="P34" s="119">
        <f>L34-'2'!G35</f>
        <v>-284734.51349792461</v>
      </c>
      <c r="Q34" s="119">
        <f>'5'!Q34/N103*100</f>
        <v>1518.6702410466296</v>
      </c>
      <c r="R34" s="119">
        <f>N34-'2'!G35</f>
        <v>-284768.42852512951</v>
      </c>
      <c r="S34" s="119">
        <f>'5'!S34/N103*100</f>
        <v>1484.6079793863571</v>
      </c>
    </row>
    <row r="35" spans="1:44">
      <c r="A35" s="13">
        <v>2000</v>
      </c>
      <c r="B35" s="52">
        <v>13131</v>
      </c>
      <c r="C35" s="52">
        <v>13254.6</v>
      </c>
      <c r="D35" s="52">
        <v>13180</v>
      </c>
      <c r="E35" s="52">
        <v>13303.6</v>
      </c>
      <c r="F35" s="52">
        <v>11376.5</v>
      </c>
      <c r="G35" s="52">
        <v>11502.1</v>
      </c>
      <c r="H35" s="52">
        <v>11424.5</v>
      </c>
      <c r="I35" s="45">
        <f>'5'!H35/'6'!$B104*100</f>
        <v>11318.450308235962</v>
      </c>
      <c r="J35" s="45"/>
      <c r="K35" s="165">
        <v>2012</v>
      </c>
      <c r="L35" s="119">
        <v>1827.202</v>
      </c>
      <c r="M35" s="118">
        <f>'5'!M35/N104*100</f>
        <v>1827.2019999999998</v>
      </c>
      <c r="N35" s="118">
        <f>'5'!N35*100/(100*'5'!L35/L35)</f>
        <v>1794.7800000000007</v>
      </c>
      <c r="O35" s="118">
        <f>'5'!O35*100/(100*'5'!M35/M35)</f>
        <v>1794.7800000000002</v>
      </c>
      <c r="P35" s="119">
        <f>L35-'2'!G36</f>
        <v>-292280.63270942081</v>
      </c>
      <c r="Q35" s="119">
        <f>'5'!Q35/N104*100</f>
        <v>1533.0940000000001</v>
      </c>
      <c r="R35" s="119">
        <f>N35-'2'!G36</f>
        <v>-292313.05470942077</v>
      </c>
      <c r="S35" s="119">
        <f>'5'!S35/N104*100</f>
        <v>1500.672</v>
      </c>
    </row>
    <row r="36" spans="1:44" s="42" customFormat="1">
      <c r="A36" s="13">
        <v>2001</v>
      </c>
      <c r="B36" s="52">
        <v>13262.1</v>
      </c>
      <c r="C36" s="52">
        <v>13403.9</v>
      </c>
      <c r="D36" s="52">
        <v>13327.5</v>
      </c>
      <c r="E36" s="52">
        <v>13469.3</v>
      </c>
      <c r="F36" s="52">
        <v>11413.4</v>
      </c>
      <c r="G36" s="52">
        <v>11557.2</v>
      </c>
      <c r="H36" s="52">
        <v>11478.1</v>
      </c>
      <c r="I36" s="45">
        <f>'5'!H36/'6'!$B105*100</f>
        <v>11431.048667805837</v>
      </c>
      <c r="J36" s="45"/>
      <c r="K36" s="165">
        <v>2013</v>
      </c>
      <c r="L36" s="119">
        <v>1869.779</v>
      </c>
      <c r="M36" s="118">
        <f>'5'!M36/N105*100</f>
        <v>1870.2643357566067</v>
      </c>
      <c r="N36" s="118">
        <f>'5'!N36*100/(100*'5'!L36/L36)</f>
        <v>1841.3015009223304</v>
      </c>
      <c r="O36" s="118">
        <f>'5'!O36*100/(100*'5'!M36/M36)</f>
        <v>1841.7794448168181</v>
      </c>
      <c r="P36" s="119">
        <f>L36-'2'!G37</f>
        <v>-303064.41367689741</v>
      </c>
      <c r="Q36" s="119">
        <f>'5'!Q36/N105*100</f>
        <v>1566.4831793638075</v>
      </c>
      <c r="R36" s="119">
        <f>N36-'2'!G37</f>
        <v>-303092.89117597509</v>
      </c>
      <c r="S36" s="119">
        <f>'5'!S36/N105*100</f>
        <v>1537.9982884240189</v>
      </c>
      <c r="T36"/>
      <c r="U36"/>
      <c r="V36"/>
      <c r="W36"/>
      <c r="X36"/>
      <c r="Y36"/>
      <c r="Z36"/>
      <c r="AA36"/>
      <c r="AB36"/>
      <c r="AC36"/>
      <c r="AD36"/>
      <c r="AE36"/>
      <c r="AF36"/>
      <c r="AG36"/>
      <c r="AH36"/>
      <c r="AI36"/>
      <c r="AJ36"/>
      <c r="AK36"/>
      <c r="AL36"/>
      <c r="AM36"/>
      <c r="AN36"/>
      <c r="AO36"/>
      <c r="AP36"/>
      <c r="AQ36"/>
      <c r="AR36"/>
    </row>
    <row r="37" spans="1:44">
      <c r="A37" s="13">
        <v>2002</v>
      </c>
      <c r="B37" s="52">
        <v>13493.1</v>
      </c>
      <c r="C37" s="52">
        <v>13582.7</v>
      </c>
      <c r="D37" s="52">
        <v>13553.2</v>
      </c>
      <c r="E37" s="52">
        <v>13642.9</v>
      </c>
      <c r="F37" s="52">
        <v>11575.9</v>
      </c>
      <c r="G37" s="52">
        <v>11666.6</v>
      </c>
      <c r="H37" s="52">
        <v>11635.2</v>
      </c>
      <c r="I37" s="45">
        <f>'5'!H37/'6'!$B106*100</f>
        <v>11642.10973203806</v>
      </c>
      <c r="J37" s="45"/>
      <c r="K37" s="13">
        <v>2014</v>
      </c>
      <c r="L37" s="167">
        <v>1923.41275</v>
      </c>
      <c r="M37" s="118">
        <f>'5'!M37/N106*100</f>
        <v>1916.9917065450886</v>
      </c>
      <c r="N37" s="118">
        <f>'5'!N37*100/(100*'5'!L37/L37)</f>
        <v>1892.3327667245896</v>
      </c>
      <c r="O37" s="118">
        <f>'5'!O37*100/(100*'5'!M37/M37)</f>
        <v>1886.0154794307982</v>
      </c>
      <c r="P37" s="119">
        <f>L37-'2'!G38</f>
        <v>-306499.73532127118</v>
      </c>
      <c r="Q37" s="119">
        <f>'5'!Q37/N106*100</f>
        <v>1606.4049401993291</v>
      </c>
      <c r="R37" s="119">
        <f>N37-'2'!G38</f>
        <v>-306530.81530454662</v>
      </c>
      <c r="S37" s="119">
        <f>'5'!S37/N106*100</f>
        <v>1575.4287130850385</v>
      </c>
    </row>
    <row r="38" spans="1:44">
      <c r="A38" s="13">
        <v>2003</v>
      </c>
      <c r="B38" s="52">
        <v>13879.1</v>
      </c>
      <c r="C38" s="52">
        <v>13895.7</v>
      </c>
      <c r="D38" s="52">
        <v>13954</v>
      </c>
      <c r="E38" s="52">
        <v>13970.5</v>
      </c>
      <c r="F38" s="52">
        <v>11900.6</v>
      </c>
      <c r="G38" s="52">
        <v>11917.3</v>
      </c>
      <c r="H38" s="52">
        <v>11974.7</v>
      </c>
      <c r="I38" s="45">
        <f>'5'!H38/'6'!$B107*100</f>
        <v>11985.442534711601</v>
      </c>
      <c r="J38" s="45"/>
      <c r="K38" s="13">
        <v>2015</v>
      </c>
      <c r="L38" s="45">
        <v>1936.6824999999999</v>
      </c>
      <c r="M38" s="118">
        <f>'5'!M38/N107*100</f>
        <v>1883.4237492666873</v>
      </c>
      <c r="N38" s="118">
        <f>'5'!N38*100/(100*'5'!L38/L38)</f>
        <v>1907.0140083808146</v>
      </c>
      <c r="O38" s="118">
        <f>'5'!O38*100/(100*'5'!M38/M38)</f>
        <v>1854.5711408910279</v>
      </c>
      <c r="P38" s="119">
        <f>L38-'2'!G39</f>
        <v>-315431.47824126488</v>
      </c>
      <c r="Q38" s="45">
        <f>'5'!Q38/N107*100</f>
        <v>1559.5056246116642</v>
      </c>
      <c r="R38" s="119">
        <f>N38-'2'!G39</f>
        <v>-315461.14673288405</v>
      </c>
      <c r="S38" s="45">
        <f>'5'!S38/N107*100</f>
        <v>1530.6530162360043</v>
      </c>
    </row>
    <row r="39" spans="1:44">
      <c r="A39" s="13">
        <v>2004</v>
      </c>
      <c r="B39" s="52">
        <v>14406.4</v>
      </c>
      <c r="C39" s="52">
        <v>14432.4</v>
      </c>
      <c r="D39" s="52">
        <v>14503</v>
      </c>
      <c r="E39" s="52">
        <v>14529.1</v>
      </c>
      <c r="F39" s="52">
        <v>12356.9</v>
      </c>
      <c r="G39" s="52">
        <v>12383.2</v>
      </c>
      <c r="H39" s="52">
        <v>12453</v>
      </c>
      <c r="I39" s="45">
        <f>'5'!H39/'6'!$B108*100</f>
        <v>12450.620146742296</v>
      </c>
      <c r="J39" s="45"/>
      <c r="K39" s="13">
        <v>2016</v>
      </c>
      <c r="L39" s="167">
        <v>1958.1234999999999</v>
      </c>
      <c r="M39" s="118">
        <f>'5'!M39/N108*100</f>
        <v>1896.53901882014</v>
      </c>
      <c r="N39" s="118">
        <f>'5'!N39*100/(100*'5'!L39/L39)</f>
        <v>1934.5484701603327</v>
      </c>
      <c r="O39" s="118">
        <f>'5'!O39*100/(100*'5'!M39/M39)</f>
        <v>1873.7054416934786</v>
      </c>
      <c r="P39" s="119">
        <f>L39-'2'!G40</f>
        <v>-317230.80638449121</v>
      </c>
      <c r="Q39" s="45">
        <f>'5'!Q39/N108*100</f>
        <v>1567.4059880447146</v>
      </c>
      <c r="R39" s="119">
        <f>N39-'2'!G40</f>
        <v>-317254.38141433086</v>
      </c>
      <c r="S39" s="45">
        <f>'5'!S39/N108*100</f>
        <v>1544.5724109180533</v>
      </c>
    </row>
    <row r="40" spans="1:44">
      <c r="A40" s="13">
        <v>2005</v>
      </c>
      <c r="B40" s="52">
        <v>14912.5</v>
      </c>
      <c r="C40" s="52">
        <v>14975.5</v>
      </c>
      <c r="D40" s="52">
        <v>15006</v>
      </c>
      <c r="E40" s="52">
        <v>15069.1</v>
      </c>
      <c r="F40" s="52">
        <v>12780.4</v>
      </c>
      <c r="G40" s="52">
        <v>12844.1</v>
      </c>
      <c r="H40" s="52">
        <v>12873.3</v>
      </c>
      <c r="I40" s="45">
        <f>'5'!H40/'6'!$B109*100</f>
        <v>12806.82196913105</v>
      </c>
      <c r="J40" s="45"/>
      <c r="K40" s="13">
        <v>2017</v>
      </c>
      <c r="L40" s="45">
        <v>2016.4475</v>
      </c>
      <c r="M40" s="118">
        <f>'5'!M40/N109*100</f>
        <v>1974.270111704418</v>
      </c>
      <c r="N40" s="118">
        <f>'5'!N40*100/(100*'5'!L40/L40)</f>
        <v>1994.677669488043</v>
      </c>
      <c r="O40" s="118">
        <f>'5'!O40*100/(100*'5'!M40/M40)</f>
        <v>1952.9556337839031</v>
      </c>
      <c r="P40" s="119">
        <f>L40-'2'!G41</f>
        <v>-313698.53271598712</v>
      </c>
      <c r="Q40" s="45">
        <f>'5'!Q40/N109*100</f>
        <v>1647.7280691923011</v>
      </c>
      <c r="R40" s="119">
        <f>N40-'2'!G41</f>
        <v>-313720.30254649906</v>
      </c>
      <c r="S40" s="45">
        <f>'5'!S40/N109*100</f>
        <v>1626.4135912717859</v>
      </c>
    </row>
    <row r="41" spans="1:44">
      <c r="A41" s="13">
        <v>2006</v>
      </c>
      <c r="B41" s="52">
        <v>15338.3</v>
      </c>
      <c r="C41" s="52">
        <v>15569.1</v>
      </c>
      <c r="D41" s="52">
        <v>15398.6</v>
      </c>
      <c r="E41" s="52">
        <v>15629.5</v>
      </c>
      <c r="F41" s="52">
        <v>13115.4</v>
      </c>
      <c r="G41" s="52">
        <v>13348.6</v>
      </c>
      <c r="H41" s="52">
        <v>13174.7</v>
      </c>
      <c r="I41" s="45">
        <f>'5'!H41/'6'!$B110*100</f>
        <v>13080.03386733807</v>
      </c>
      <c r="J41" s="45"/>
      <c r="K41" s="13">
        <v>2018</v>
      </c>
      <c r="L41" s="167">
        <v>2054.3277499999999</v>
      </c>
      <c r="M41" s="118">
        <f>'5'!M41/N110*100</f>
        <v>2013.5608850598751</v>
      </c>
      <c r="N41" s="118">
        <f>'5'!N41*100/(100*'5'!L41/L41)</f>
        <v>2027.9018042401719</v>
      </c>
      <c r="O41" s="118">
        <f>'5'!O41*100/(100*'5'!M41/M41)</f>
        <v>1987.6593458664804</v>
      </c>
      <c r="P41" s="119">
        <f>L41-'2'!G42</f>
        <v>-321003.13916558801</v>
      </c>
      <c r="Q41" s="45">
        <f>'5'!Q41/N110*100</f>
        <v>1680.3388763721746</v>
      </c>
      <c r="R41" s="119">
        <f>N41-'2'!G42</f>
        <v>-321029.56511134782</v>
      </c>
      <c r="S41" s="45">
        <f>'5'!S41/N110*100</f>
        <v>1654.4373371787794</v>
      </c>
    </row>
    <row r="42" spans="1:44">
      <c r="A42" s="13">
        <v>2007</v>
      </c>
      <c r="B42" s="52">
        <v>15626</v>
      </c>
      <c r="C42" s="52">
        <v>15606.9</v>
      </c>
      <c r="D42" s="52">
        <v>15748.3</v>
      </c>
      <c r="E42" s="52">
        <v>15729.2</v>
      </c>
      <c r="F42" s="52">
        <v>13312.5</v>
      </c>
      <c r="G42" s="52">
        <v>13293.2</v>
      </c>
      <c r="H42" s="52">
        <v>13434.3</v>
      </c>
      <c r="I42" s="45">
        <f>'5'!H42/'6'!$B111*100</f>
        <v>13350.362825811073</v>
      </c>
      <c r="J42" s="45"/>
    </row>
    <row r="43" spans="1:44">
      <c r="A43" s="13">
        <v>2008</v>
      </c>
      <c r="B43" s="52">
        <v>15604.7</v>
      </c>
      <c r="C43" s="52">
        <v>15410.8</v>
      </c>
      <c r="D43" s="52">
        <v>15771.6</v>
      </c>
      <c r="E43" s="52">
        <v>15577.6</v>
      </c>
      <c r="F43" s="52">
        <v>13213</v>
      </c>
      <c r="G43" s="52">
        <v>13017.4</v>
      </c>
      <c r="H43" s="52">
        <v>13379.8</v>
      </c>
      <c r="I43" s="45">
        <f>'5'!H43/'6'!$B112*100</f>
        <v>13189.160691691271</v>
      </c>
      <c r="J43" s="45"/>
      <c r="K43" s="5" t="s">
        <v>141</v>
      </c>
      <c r="L43" s="15"/>
      <c r="M43" s="15"/>
      <c r="N43" s="15"/>
      <c r="O43" s="15"/>
      <c r="P43" s="15"/>
      <c r="Q43" s="15"/>
      <c r="R43" s="15"/>
      <c r="S43" s="40"/>
    </row>
    <row r="44" spans="1:44">
      <c r="A44" s="13">
        <v>2009</v>
      </c>
      <c r="B44" s="52">
        <v>15208.8</v>
      </c>
      <c r="C44" s="52">
        <v>15006.6</v>
      </c>
      <c r="D44" s="52">
        <v>15359.4</v>
      </c>
      <c r="E44" s="52">
        <v>15157.1</v>
      </c>
      <c r="F44" s="52">
        <v>12771.8</v>
      </c>
      <c r="G44" s="52">
        <v>12568.6</v>
      </c>
      <c r="H44" s="52">
        <v>12922.1</v>
      </c>
      <c r="I44" s="45">
        <f>'5'!H44/'6'!$B113*100</f>
        <v>12926.341623382805</v>
      </c>
      <c r="J44" s="45"/>
      <c r="K44" s="66" t="s">
        <v>138</v>
      </c>
      <c r="L44" s="57">
        <f t="shared" ref="L44:S44" si="0">((L12/L4)^(1/8)-1)*100</f>
        <v>2.8417810297538981</v>
      </c>
      <c r="M44" s="57">
        <f t="shared" si="0"/>
        <v>2.7504996304252405</v>
      </c>
      <c r="N44" s="57">
        <f t="shared" si="0"/>
        <v>2.8285813728629705</v>
      </c>
      <c r="O44" s="57">
        <f t="shared" si="0"/>
        <v>2.7373116894258365</v>
      </c>
      <c r="P44" s="57">
        <f t="shared" si="0"/>
        <v>3.533755642333225</v>
      </c>
      <c r="Q44" s="57">
        <f t="shared" si="0"/>
        <v>2.8731857729561439</v>
      </c>
      <c r="R44" s="57">
        <f t="shared" si="0"/>
        <v>3.5336723090239941</v>
      </c>
      <c r="S44" s="58">
        <f t="shared" si="0"/>
        <v>2.8626180509916166</v>
      </c>
    </row>
    <row r="45" spans="1:44">
      <c r="A45" s="13">
        <v>2010</v>
      </c>
      <c r="B45" s="52">
        <v>15598.8</v>
      </c>
      <c r="C45" s="52">
        <v>15535.2</v>
      </c>
      <c r="D45" s="52">
        <v>15803.9</v>
      </c>
      <c r="E45" s="52">
        <v>15740.4</v>
      </c>
      <c r="F45" s="52">
        <v>13134.5</v>
      </c>
      <c r="G45" s="52">
        <v>13070.9</v>
      </c>
      <c r="H45" s="52">
        <v>13339.6</v>
      </c>
      <c r="I45" s="45">
        <f>'5'!H45/'6'!$B114*100</f>
        <v>13343.760753276816</v>
      </c>
      <c r="J45" s="45"/>
      <c r="K45" s="67" t="s">
        <v>27</v>
      </c>
      <c r="L45" s="10">
        <f t="shared" ref="L45:S45" si="1">100*((L23/L12)^(1/11)-1)</f>
        <v>2.6091872099878177</v>
      </c>
      <c r="M45" s="10">
        <f t="shared" si="1"/>
        <v>2.602456258306507</v>
      </c>
      <c r="N45" s="10">
        <f t="shared" si="1"/>
        <v>2.687575358235117</v>
      </c>
      <c r="O45" s="10">
        <f t="shared" si="1"/>
        <v>2.6808392644524837</v>
      </c>
      <c r="P45" s="10">
        <f t="shared" si="1"/>
        <v>3.6192148939331537</v>
      </c>
      <c r="Q45" s="10">
        <f t="shared" si="1"/>
        <v>2.5945127466841855</v>
      </c>
      <c r="R45" s="10">
        <f t="shared" si="1"/>
        <v>3.6184407548473629</v>
      </c>
      <c r="S45" s="11">
        <f t="shared" si="1"/>
        <v>2.6868248169277908</v>
      </c>
    </row>
    <row r="46" spans="1:44">
      <c r="A46" s="13">
        <v>2011</v>
      </c>
      <c r="B46" s="52">
        <v>15840.7</v>
      </c>
      <c r="C46" s="52">
        <v>15894.9</v>
      </c>
      <c r="D46" s="52">
        <v>16081.7</v>
      </c>
      <c r="E46" s="52">
        <v>16135.9</v>
      </c>
      <c r="F46" s="52">
        <v>13329.3</v>
      </c>
      <c r="G46" s="52">
        <v>13383.6</v>
      </c>
      <c r="H46" s="52">
        <v>13570.3</v>
      </c>
      <c r="I46" s="45">
        <f>'5'!H46/'6'!$B115*100</f>
        <v>13543.543543543543</v>
      </c>
      <c r="J46" s="45"/>
      <c r="K46" s="67" t="s">
        <v>28</v>
      </c>
      <c r="L46" s="10">
        <f t="shared" ref="L46:S46" si="2">100*((L31/L23)^(1/8)-1)</f>
        <v>2.3238776640506886</v>
      </c>
      <c r="M46" s="10">
        <f t="shared" si="2"/>
        <v>2.9901052267429451</v>
      </c>
      <c r="N46" s="10">
        <f t="shared" si="2"/>
        <v>2.474751729781044</v>
      </c>
      <c r="O46" s="10">
        <f t="shared" si="2"/>
        <v>3.1419616287899022</v>
      </c>
      <c r="P46" s="10">
        <f t="shared" si="2"/>
        <v>3.0665310017987002</v>
      </c>
      <c r="Q46" s="10">
        <f t="shared" si="2"/>
        <v>2.9053573791556042</v>
      </c>
      <c r="R46" s="10">
        <f t="shared" si="2"/>
        <v>3.0654445479486814</v>
      </c>
      <c r="S46" s="11">
        <f t="shared" si="2"/>
        <v>3.082901946242167</v>
      </c>
    </row>
    <row r="47" spans="1:44">
      <c r="A47" s="13">
        <v>2012</v>
      </c>
      <c r="B47" s="52">
        <v>16197</v>
      </c>
      <c r="C47" s="52">
        <v>16438.400000000001</v>
      </c>
      <c r="D47" s="52">
        <v>16429.3</v>
      </c>
      <c r="E47" s="52">
        <v>16670.7</v>
      </c>
      <c r="F47" s="52">
        <v>13621</v>
      </c>
      <c r="G47" s="52">
        <v>13862.4</v>
      </c>
      <c r="H47" s="52">
        <v>13853.3</v>
      </c>
      <c r="I47" s="45">
        <f>'5'!H47/'6'!$B116*100</f>
        <v>13853.3</v>
      </c>
      <c r="J47" s="45"/>
      <c r="K47" s="68" t="s">
        <v>152</v>
      </c>
      <c r="L47" s="59">
        <f t="shared" ref="L47:S47" si="3">100*((L31/L4)^(1/27)-1)</f>
        <v>2.5933732155514422</v>
      </c>
      <c r="M47" s="59">
        <f t="shared" si="3"/>
        <v>2.7610543168561819</v>
      </c>
      <c r="N47" s="59">
        <f t="shared" si="3"/>
        <v>2.6662041944594428</v>
      </c>
      <c r="O47" s="59">
        <f t="shared" si="3"/>
        <v>2.8340043324852848</v>
      </c>
      <c r="P47" s="59">
        <f t="shared" si="3"/>
        <v>3.4298599365384153</v>
      </c>
      <c r="Q47" s="59">
        <f t="shared" si="3"/>
        <v>2.769081812069385</v>
      </c>
      <c r="R47" s="59">
        <f t="shared" si="3"/>
        <v>3.4291974084947885</v>
      </c>
      <c r="S47" s="60">
        <f t="shared" si="3"/>
        <v>2.8561370341070758</v>
      </c>
    </row>
    <row r="48" spans="1:44">
      <c r="A48" s="13">
        <v>2013</v>
      </c>
      <c r="B48" s="52">
        <v>16495.400000000001</v>
      </c>
      <c r="C48" s="52">
        <v>16652.900000000001</v>
      </c>
      <c r="D48" s="52">
        <v>16722.3</v>
      </c>
      <c r="E48" s="52">
        <v>16879.900000000001</v>
      </c>
      <c r="F48" s="52">
        <v>13845.8</v>
      </c>
      <c r="G48" s="52">
        <v>14003.1</v>
      </c>
      <c r="H48" s="52">
        <v>14072.7</v>
      </c>
      <c r="I48" s="45">
        <f>'5'!H48/'6'!$B117*100</f>
        <v>14124.231436228914</v>
      </c>
      <c r="J48" s="45"/>
      <c r="K48" s="21"/>
      <c r="L48" s="10"/>
      <c r="M48" s="10"/>
      <c r="N48" s="10"/>
      <c r="O48" s="10"/>
      <c r="P48" s="10"/>
      <c r="Q48" s="10"/>
      <c r="R48" s="10"/>
      <c r="S48" s="10"/>
    </row>
    <row r="49" spans="1:44" s="42" customFormat="1">
      <c r="A49" s="13">
        <v>2014</v>
      </c>
      <c r="B49" s="45">
        <v>16899.8</v>
      </c>
      <c r="C49" s="45">
        <v>17188.2</v>
      </c>
      <c r="D49" s="45">
        <v>17135.099999999999</v>
      </c>
      <c r="E49" s="45">
        <v>17423.5</v>
      </c>
      <c r="F49" s="45">
        <v>14175.8</v>
      </c>
      <c r="G49" s="45">
        <v>14464.1</v>
      </c>
      <c r="H49" s="45">
        <v>14411.1</v>
      </c>
      <c r="I49" s="119">
        <f>'5'!H49/'6'!$B118*100</f>
        <v>14480.516964095408</v>
      </c>
      <c r="J49" s="45"/>
      <c r="K49" s="69" t="s">
        <v>142</v>
      </c>
      <c r="L49" s="10"/>
      <c r="M49" s="10"/>
      <c r="N49" s="10"/>
      <c r="O49" s="10"/>
      <c r="P49" s="10"/>
      <c r="Q49" s="10"/>
      <c r="R49" s="10"/>
      <c r="S49" s="10"/>
      <c r="T49"/>
      <c r="U49"/>
      <c r="V49"/>
      <c r="W49"/>
      <c r="X49"/>
      <c r="Y49"/>
      <c r="Z49"/>
      <c r="AA49"/>
      <c r="AB49"/>
      <c r="AC49"/>
      <c r="AD49"/>
      <c r="AE49"/>
      <c r="AF49"/>
      <c r="AG49"/>
      <c r="AH49"/>
      <c r="AI49"/>
      <c r="AJ49"/>
      <c r="AK49"/>
      <c r="AL49"/>
      <c r="AM49"/>
      <c r="AN49"/>
      <c r="AO49"/>
      <c r="AP49"/>
      <c r="AQ49"/>
      <c r="AR49"/>
    </row>
    <row r="50" spans="1:44" s="42" customFormat="1">
      <c r="A50" s="13">
        <v>2015</v>
      </c>
      <c r="B50" s="45">
        <v>17386.7</v>
      </c>
      <c r="C50" s="45">
        <v>17630</v>
      </c>
      <c r="D50" s="45">
        <v>17608.3</v>
      </c>
      <c r="E50" s="45">
        <v>17851.599999999999</v>
      </c>
      <c r="F50" s="45">
        <v>14588.2</v>
      </c>
      <c r="G50" s="45">
        <v>14831.2</v>
      </c>
      <c r="H50" s="45">
        <v>14809.8</v>
      </c>
      <c r="I50" s="119">
        <f>'5'!H50/'6'!$B119*100</f>
        <v>14989.236932284377</v>
      </c>
      <c r="J50" s="45"/>
      <c r="K50" s="66" t="s">
        <v>200</v>
      </c>
      <c r="L50" s="72">
        <f>100*((L41/L23)^(1/18)-1)</f>
        <v>1.9640659030434993</v>
      </c>
      <c r="M50" s="72">
        <f t="shared" ref="M50:S50" si="4">100*((M41/M23)^(1/18)-1)</f>
        <v>2.0717151602193118</v>
      </c>
      <c r="N50" s="72">
        <f t="shared" si="4"/>
        <v>2.041370163183398</v>
      </c>
      <c r="O50" s="72">
        <f t="shared" si="4"/>
        <v>2.1491010348584583</v>
      </c>
      <c r="P50" s="72">
        <f t="shared" si="4"/>
        <v>2.3228339286091471</v>
      </c>
      <c r="Q50" s="72">
        <f t="shared" si="4"/>
        <v>1.9627984281142652</v>
      </c>
      <c r="R50" s="72">
        <f t="shared" si="4"/>
        <v>2.3222851366395902</v>
      </c>
      <c r="S50" s="72">
        <f t="shared" si="4"/>
        <v>2.0523049452491726</v>
      </c>
      <c r="T50"/>
      <c r="U50"/>
      <c r="V50"/>
      <c r="W50"/>
      <c r="X50"/>
      <c r="Y50"/>
      <c r="Z50"/>
      <c r="AA50"/>
      <c r="AB50"/>
      <c r="AC50"/>
      <c r="AD50"/>
      <c r="AE50"/>
      <c r="AF50"/>
      <c r="AG50"/>
      <c r="AH50"/>
      <c r="AI50"/>
      <c r="AJ50"/>
      <c r="AK50"/>
      <c r="AL50"/>
      <c r="AM50"/>
      <c r="AN50"/>
      <c r="AO50"/>
      <c r="AP50"/>
      <c r="AQ50"/>
      <c r="AR50"/>
    </row>
    <row r="51" spans="1:44" s="42" customFormat="1">
      <c r="A51" s="13">
        <v>2016</v>
      </c>
      <c r="B51" s="45">
        <v>17659.2</v>
      </c>
      <c r="C51" s="45">
        <v>17779</v>
      </c>
      <c r="D51" s="45">
        <v>17867.8</v>
      </c>
      <c r="E51" s="45">
        <v>17987.599999999999</v>
      </c>
      <c r="F51" s="45">
        <v>14790.1</v>
      </c>
      <c r="G51" s="45">
        <v>14909.6</v>
      </c>
      <c r="H51" s="45">
        <v>14998.8</v>
      </c>
      <c r="I51" s="119">
        <f>'5'!H51/'6'!$B120*100</f>
        <v>15258.490240772309</v>
      </c>
      <c r="J51" s="45"/>
      <c r="K51" s="88" t="s">
        <v>201</v>
      </c>
      <c r="L51" s="73">
        <f>100*((L41/L31)^(1/10)-1)</f>
        <v>1.6771276825116033</v>
      </c>
      <c r="M51" s="73">
        <f t="shared" ref="M51:S51" si="5">100*((M41/M31)^(1/10)-1)</f>
        <v>1.3429030816749066</v>
      </c>
      <c r="N51" s="73">
        <f t="shared" si="5"/>
        <v>1.6959849255450132</v>
      </c>
      <c r="O51" s="73">
        <f t="shared" si="5"/>
        <v>1.3616983387467751</v>
      </c>
      <c r="P51" s="73">
        <f t="shared" si="5"/>
        <v>1.7317418646166871</v>
      </c>
      <c r="Q51" s="73">
        <f t="shared" si="5"/>
        <v>1.2149710813096126</v>
      </c>
      <c r="R51" s="73">
        <f t="shared" si="5"/>
        <v>1.7316176542074402</v>
      </c>
      <c r="S51" s="73">
        <f t="shared" si="5"/>
        <v>1.235250932240084</v>
      </c>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row>
    <row r="52" spans="1:44" s="42" customFormat="1">
      <c r="A52" s="13">
        <v>2017</v>
      </c>
      <c r="B52" s="45">
        <v>18050.7</v>
      </c>
      <c r="C52" s="45">
        <v>18183.3</v>
      </c>
      <c r="D52" s="45">
        <v>18284</v>
      </c>
      <c r="E52" s="45">
        <v>18416.7</v>
      </c>
      <c r="F52" s="45">
        <v>15092</v>
      </c>
      <c r="G52" s="45">
        <v>15224</v>
      </c>
      <c r="H52" s="45">
        <v>15325.3</v>
      </c>
      <c r="I52" s="119">
        <f>'5'!H52/'6'!$B121*100</f>
        <v>15619.20610744439</v>
      </c>
      <c r="J52" s="45"/>
      <c r="K52" s="68" t="s">
        <v>202</v>
      </c>
      <c r="L52" s="74">
        <f>100*((L41/L4)^(1/37)-1)</f>
        <v>2.344928179144623</v>
      </c>
      <c r="M52" s="74">
        <f t="shared" ref="M52:S52" si="6">100*((M41/M4)^(1/37)-1)</f>
        <v>2.3758247428249613</v>
      </c>
      <c r="N52" s="74">
        <f t="shared" si="6"/>
        <v>2.4030736574785383</v>
      </c>
      <c r="O52" s="74">
        <f t="shared" si="6"/>
        <v>2.4339877745003458</v>
      </c>
      <c r="P52" s="74">
        <f t="shared" si="6"/>
        <v>2.9681334981124241</v>
      </c>
      <c r="Q52" s="74">
        <f t="shared" si="6"/>
        <v>2.3467139024796024</v>
      </c>
      <c r="R52" s="74">
        <f t="shared" si="6"/>
        <v>2.9676182113191896</v>
      </c>
      <c r="S52" s="74">
        <f t="shared" si="6"/>
        <v>2.415517707201098</v>
      </c>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row>
    <row r="53" spans="1:44" s="42" customFormat="1">
      <c r="A53" s="13">
        <v>2018</v>
      </c>
      <c r="B53" s="45">
        <v>18566.400000000001</v>
      </c>
      <c r="C53" s="45">
        <v>18609.7</v>
      </c>
      <c r="D53" s="45">
        <v>18815.900000000001</v>
      </c>
      <c r="E53" s="45">
        <v>18859.2</v>
      </c>
      <c r="F53" s="45">
        <v>15514.6</v>
      </c>
      <c r="G53" s="45">
        <v>15557.6</v>
      </c>
      <c r="H53" s="45">
        <v>15763.9</v>
      </c>
      <c r="I53" s="119">
        <f>'5'!H53/'6'!$B122*100</f>
        <v>16084.056344248267</v>
      </c>
      <c r="J53" s="45"/>
      <c r="K53" s="13"/>
      <c r="L53" s="10"/>
      <c r="M53" s="10"/>
      <c r="N53" s="10"/>
      <c r="O53" s="10"/>
      <c r="P53" s="10"/>
      <c r="Q53" s="10"/>
      <c r="R53" s="10"/>
      <c r="S53" s="1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row>
    <row r="54" spans="1:44">
      <c r="A54" s="13"/>
      <c r="B54" s="39"/>
      <c r="C54" s="39"/>
      <c r="D54" s="39"/>
      <c r="E54" s="39"/>
      <c r="F54" s="39"/>
      <c r="G54" s="39"/>
      <c r="H54" s="39"/>
      <c r="I54" s="45"/>
      <c r="J54" s="45"/>
      <c r="K54" s="38" t="s">
        <v>106</v>
      </c>
    </row>
    <row r="55" spans="1:44" ht="30.75" customHeight="1">
      <c r="A55" s="5" t="s">
        <v>141</v>
      </c>
      <c r="B55" s="15"/>
      <c r="C55" s="15"/>
      <c r="D55" s="15"/>
      <c r="E55" s="15"/>
      <c r="F55" s="15"/>
      <c r="G55" s="15"/>
      <c r="H55" s="15"/>
      <c r="I55" s="9"/>
      <c r="J55" s="45"/>
      <c r="K55" s="185" t="s">
        <v>181</v>
      </c>
      <c r="L55" s="185"/>
      <c r="M55" s="185"/>
      <c r="N55" s="185"/>
      <c r="O55" s="185"/>
      <c r="P55" s="185"/>
      <c r="Q55" s="185"/>
      <c r="R55" s="185"/>
      <c r="S55" s="185"/>
    </row>
    <row r="56" spans="1:44" ht="15" customHeight="1">
      <c r="A56" s="66" t="s">
        <v>138</v>
      </c>
      <c r="B56" s="57">
        <f>((B24/B16)^(1/8)-1)*100</f>
        <v>3.5928317834329038</v>
      </c>
      <c r="C56" s="57">
        <f>((C24/C16)^(1/8)-1)*100</f>
        <v>3.5906267828517358</v>
      </c>
      <c r="D56" s="57">
        <f t="shared" ref="D56:I56" si="7">((D24/D16)^(1/8)-1)*100</f>
        <v>3.5095097278470488</v>
      </c>
      <c r="E56" s="57">
        <f t="shared" si="7"/>
        <v>3.5062286382726349</v>
      </c>
      <c r="F56" s="57">
        <f>((F24/F16)^(1/8)-1)*100</f>
        <v>3.4504984131453531</v>
      </c>
      <c r="G56" s="57">
        <f t="shared" si="7"/>
        <v>3.4485574613858372</v>
      </c>
      <c r="H56" s="57">
        <f t="shared" si="7"/>
        <v>3.3541352095490806</v>
      </c>
      <c r="I56" s="58">
        <f t="shared" si="7"/>
        <v>3.6285624865956656</v>
      </c>
      <c r="J56" s="45"/>
      <c r="L56" s="171"/>
      <c r="M56" s="171"/>
      <c r="N56" s="171"/>
      <c r="O56" s="171"/>
      <c r="P56" s="171"/>
      <c r="Q56" s="171"/>
      <c r="R56" s="171"/>
      <c r="S56" s="171"/>
    </row>
    <row r="57" spans="1:44">
      <c r="A57" s="67" t="s">
        <v>27</v>
      </c>
      <c r="B57" s="10">
        <f>100*((B35/B24)^(1/11)-1)</f>
        <v>3.2952326821456213</v>
      </c>
      <c r="C57" s="10">
        <f>100*((C35/C24)^(1/11)-1)</f>
        <v>3.4971829786627273</v>
      </c>
      <c r="D57" s="10">
        <f t="shared" ref="D57:I57" si="8">100*((D35/D24)^(1/11)-1)</f>
        <v>3.2822164238714091</v>
      </c>
      <c r="E57" s="10">
        <f t="shared" si="8"/>
        <v>3.4834366536341754</v>
      </c>
      <c r="F57" s="10">
        <f t="shared" si="8"/>
        <v>3.1263939290781639</v>
      </c>
      <c r="G57" s="10">
        <f>100*((G35/G24)^(1/11)-1)</f>
        <v>3.3632840948586873</v>
      </c>
      <c r="H57" s="10">
        <f t="shared" si="8"/>
        <v>3.111912432122188</v>
      </c>
      <c r="I57" s="11">
        <f t="shared" si="8"/>
        <v>3.31651162235298</v>
      </c>
      <c r="J57" s="45"/>
      <c r="L57" s="171"/>
      <c r="M57" s="171"/>
      <c r="N57" s="171"/>
      <c r="O57" s="171"/>
      <c r="P57" s="171"/>
      <c r="Q57" s="171"/>
      <c r="R57" s="171"/>
      <c r="S57" s="171"/>
    </row>
    <row r="58" spans="1:44" s="34" customFormat="1" ht="15" customHeight="1">
      <c r="A58" s="67" t="s">
        <v>28</v>
      </c>
      <c r="B58" s="10">
        <f t="shared" ref="B58:I58" si="9">100*((B43/B35)^(1/8)-1)</f>
        <v>2.1808951101351948</v>
      </c>
      <c r="C58" s="10">
        <f t="shared" si="9"/>
        <v>1.9019089412407597</v>
      </c>
      <c r="D58" s="10">
        <f t="shared" si="9"/>
        <v>2.269243391196385</v>
      </c>
      <c r="E58" s="10">
        <f t="shared" si="9"/>
        <v>1.9920735216738095</v>
      </c>
      <c r="F58" s="10">
        <f t="shared" si="9"/>
        <v>1.8882482352185814</v>
      </c>
      <c r="G58" s="10">
        <f t="shared" si="9"/>
        <v>1.5589936707846475</v>
      </c>
      <c r="H58" s="10">
        <f t="shared" si="9"/>
        <v>1.9944528348081914</v>
      </c>
      <c r="I58" s="11">
        <f t="shared" si="9"/>
        <v>1.9304106533527321</v>
      </c>
      <c r="J58" s="45"/>
      <c r="L58" s="171"/>
      <c r="M58" s="171"/>
      <c r="N58" s="171"/>
      <c r="O58" s="171"/>
      <c r="P58" s="171"/>
      <c r="Q58" s="171"/>
      <c r="R58" s="171"/>
      <c r="S58" s="171"/>
      <c r="T58"/>
      <c r="U58"/>
      <c r="V58"/>
      <c r="W58"/>
      <c r="X58"/>
      <c r="Y58"/>
      <c r="Z58"/>
      <c r="AA58"/>
      <c r="AB58"/>
      <c r="AC58"/>
      <c r="AD58"/>
      <c r="AE58"/>
      <c r="AF58"/>
      <c r="AG58"/>
      <c r="AH58"/>
      <c r="AI58"/>
      <c r="AJ58"/>
      <c r="AK58"/>
      <c r="AL58"/>
      <c r="AM58"/>
      <c r="AN58"/>
      <c r="AO58"/>
      <c r="AP58"/>
      <c r="AQ58"/>
      <c r="AR58"/>
    </row>
    <row r="59" spans="1:44" s="42" customFormat="1" ht="15" customHeight="1">
      <c r="A59" s="68" t="s">
        <v>152</v>
      </c>
      <c r="B59" s="59">
        <f t="shared" ref="B59:I59" si="10">100*((B43/B16)^(1/27)-1)</f>
        <v>3.0516032274359173</v>
      </c>
      <c r="C59" s="59">
        <f t="shared" si="10"/>
        <v>3.0494742080713122</v>
      </c>
      <c r="D59" s="59">
        <f t="shared" si="10"/>
        <v>3.0481325504262857</v>
      </c>
      <c r="E59" s="59">
        <f t="shared" si="10"/>
        <v>3.0460157460614035</v>
      </c>
      <c r="F59" s="59">
        <f t="shared" si="10"/>
        <v>2.8535578148460417</v>
      </c>
      <c r="G59" s="59">
        <f t="shared" si="10"/>
        <v>2.850490519545601</v>
      </c>
      <c r="H59" s="59">
        <f t="shared" si="10"/>
        <v>2.8510222564076093</v>
      </c>
      <c r="I59" s="60">
        <f t="shared" si="10"/>
        <v>2.9958539837285025</v>
      </c>
      <c r="J59" s="45"/>
      <c r="L59" s="171"/>
      <c r="M59" s="171"/>
      <c r="N59" s="171"/>
      <c r="O59" s="171"/>
      <c r="P59" s="171"/>
      <c r="Q59" s="171"/>
      <c r="R59" s="171"/>
      <c r="S59" s="171"/>
      <c r="T59"/>
      <c r="U59"/>
      <c r="V59"/>
      <c r="W59"/>
      <c r="X59"/>
      <c r="Y59"/>
      <c r="Z59"/>
      <c r="AA59"/>
      <c r="AB59"/>
      <c r="AC59"/>
      <c r="AD59"/>
      <c r="AE59"/>
      <c r="AF59"/>
      <c r="AG59"/>
      <c r="AH59"/>
      <c r="AI59"/>
      <c r="AJ59"/>
      <c r="AK59"/>
      <c r="AL59"/>
      <c r="AM59"/>
      <c r="AN59"/>
      <c r="AO59"/>
      <c r="AP59"/>
      <c r="AQ59"/>
      <c r="AR59"/>
    </row>
    <row r="60" spans="1:44" s="42" customFormat="1" ht="44.25" customHeight="1">
      <c r="A60" s="21"/>
      <c r="B60" s="10"/>
      <c r="C60" s="10"/>
      <c r="D60" s="10"/>
      <c r="E60" s="10"/>
      <c r="F60" s="10"/>
      <c r="G60" s="10"/>
      <c r="H60" s="10"/>
      <c r="I60" s="10"/>
      <c r="J60" s="45"/>
      <c r="K60" s="185" t="s">
        <v>120</v>
      </c>
      <c r="L60" s="185"/>
      <c r="M60" s="185"/>
      <c r="N60" s="185"/>
      <c r="O60" s="185"/>
      <c r="P60" s="185"/>
      <c r="Q60" s="185"/>
      <c r="R60" s="185"/>
      <c r="S60" s="185"/>
      <c r="T60"/>
      <c r="U60"/>
      <c r="V60"/>
      <c r="W60"/>
      <c r="X60"/>
      <c r="Y60"/>
      <c r="Z60"/>
      <c r="AA60"/>
      <c r="AB60"/>
      <c r="AC60"/>
      <c r="AD60"/>
      <c r="AE60"/>
      <c r="AF60"/>
      <c r="AG60"/>
      <c r="AH60"/>
      <c r="AI60"/>
      <c r="AJ60"/>
      <c r="AK60"/>
      <c r="AL60"/>
      <c r="AM60"/>
      <c r="AN60"/>
      <c r="AO60"/>
      <c r="AP60"/>
      <c r="AQ60"/>
      <c r="AR60"/>
    </row>
    <row r="61" spans="1:44" s="42" customFormat="1" ht="15" customHeight="1">
      <c r="A61" s="69" t="s">
        <v>142</v>
      </c>
      <c r="B61" s="10"/>
      <c r="C61" s="10"/>
      <c r="D61" s="10"/>
      <c r="E61" s="10"/>
      <c r="F61" s="10"/>
      <c r="G61" s="10"/>
      <c r="H61" s="10"/>
      <c r="I61" s="10"/>
      <c r="J61" s="45"/>
      <c r="K61" s="171"/>
      <c r="L61" s="171"/>
      <c r="M61" s="171"/>
      <c r="N61" s="171"/>
      <c r="O61" s="171"/>
      <c r="P61" s="171"/>
      <c r="Q61" s="171"/>
      <c r="R61" s="171"/>
      <c r="S61" s="171"/>
      <c r="T61"/>
      <c r="U61"/>
      <c r="V61"/>
      <c r="W61"/>
      <c r="X61"/>
      <c r="Y61"/>
      <c r="Z61"/>
      <c r="AA61"/>
      <c r="AB61"/>
      <c r="AC61"/>
      <c r="AD61"/>
      <c r="AE61"/>
      <c r="AF61"/>
      <c r="AG61"/>
      <c r="AH61"/>
      <c r="AI61"/>
      <c r="AJ61"/>
      <c r="AK61"/>
      <c r="AL61"/>
      <c r="AM61"/>
      <c r="AN61"/>
      <c r="AO61"/>
      <c r="AP61"/>
      <c r="AQ61"/>
      <c r="AR61"/>
    </row>
    <row r="62" spans="1:44" s="42" customFormat="1">
      <c r="A62" s="172" t="s">
        <v>202</v>
      </c>
      <c r="B62" s="72">
        <f>100*((B53/B16)^(1/37)-1)</f>
        <v>2.6990041820100563</v>
      </c>
      <c r="C62" s="72">
        <f t="shared" ref="C62:I62" si="11">100*((C53/C16)^(1/37)-1)</f>
        <v>2.738634835831677</v>
      </c>
      <c r="D62" s="72">
        <f t="shared" si="11"/>
        <v>2.7040024403247598</v>
      </c>
      <c r="E62" s="72">
        <f t="shared" si="11"/>
        <v>2.7432063032134968</v>
      </c>
      <c r="F62" s="72">
        <f t="shared" si="11"/>
        <v>2.5183581330243232</v>
      </c>
      <c r="G62" s="72">
        <f t="shared" si="11"/>
        <v>2.5651305075507613</v>
      </c>
      <c r="H62" s="72">
        <f t="shared" si="11"/>
        <v>2.5259239087870977</v>
      </c>
      <c r="I62" s="72">
        <f t="shared" si="11"/>
        <v>2.7268790894126038</v>
      </c>
      <c r="J62" s="45"/>
      <c r="K62" s="136"/>
      <c r="L62" s="138"/>
      <c r="M62" s="138"/>
      <c r="N62" s="138"/>
      <c r="O62" s="138"/>
      <c r="P62" s="138"/>
      <c r="Q62" s="138"/>
      <c r="R62" s="138"/>
      <c r="S62" s="138"/>
      <c r="T62"/>
      <c r="U62"/>
      <c r="V62"/>
      <c r="W62"/>
      <c r="X62"/>
      <c r="Y62"/>
      <c r="Z62"/>
      <c r="AA62"/>
      <c r="AB62"/>
      <c r="AC62"/>
      <c r="AD62"/>
      <c r="AE62"/>
      <c r="AF62"/>
      <c r="AG62"/>
      <c r="AH62"/>
      <c r="AI62"/>
      <c r="AJ62"/>
      <c r="AK62"/>
      <c r="AL62"/>
      <c r="AM62"/>
      <c r="AN62"/>
      <c r="AO62"/>
      <c r="AP62"/>
      <c r="AQ62"/>
      <c r="AR62"/>
    </row>
    <row r="63" spans="1:44">
      <c r="A63" s="81" t="s">
        <v>200</v>
      </c>
      <c r="B63" s="73">
        <f>100*((B53/B35)^(1/18)-1)</f>
        <v>1.9429546491223526</v>
      </c>
      <c r="C63" s="73">
        <f t="shared" ref="C63:I63" si="12">100*((C53/C35)^(1/18)-1)</f>
        <v>1.9030950434415717</v>
      </c>
      <c r="D63" s="73">
        <f t="shared" si="12"/>
        <v>1.9974751723829787</v>
      </c>
      <c r="E63" s="73">
        <f t="shared" si="12"/>
        <v>1.9576158623030304</v>
      </c>
      <c r="F63" s="73">
        <f t="shared" si="12"/>
        <v>1.7384475186445814</v>
      </c>
      <c r="G63" s="73">
        <f t="shared" si="12"/>
        <v>1.6920424593334538</v>
      </c>
      <c r="H63" s="73">
        <f t="shared" si="12"/>
        <v>1.8047723674147864</v>
      </c>
      <c r="I63" s="73">
        <f t="shared" si="12"/>
        <v>1.9713705558622285</v>
      </c>
      <c r="J63" s="9"/>
    </row>
    <row r="64" spans="1:44">
      <c r="A64" s="100" t="s">
        <v>201</v>
      </c>
      <c r="B64" s="74">
        <f>100*((B53/B43)^(1/10)-1)</f>
        <v>1.753001274760857</v>
      </c>
      <c r="C64" s="74">
        <f t="shared" ref="C64:I64" si="13">100*((C53/C43)^(1/10)-1)</f>
        <v>1.9040439351424077</v>
      </c>
      <c r="D64" s="74">
        <f t="shared" si="13"/>
        <v>1.780580667309084</v>
      </c>
      <c r="E64" s="74">
        <f t="shared" si="13"/>
        <v>1.9300581168015585</v>
      </c>
      <c r="F64" s="74">
        <f t="shared" si="13"/>
        <v>1.6187655364692688</v>
      </c>
      <c r="G64" s="74">
        <f t="shared" si="13"/>
        <v>1.7986069769710289</v>
      </c>
      <c r="H64" s="74">
        <f t="shared" si="13"/>
        <v>1.6532820059698361</v>
      </c>
      <c r="I64" s="74">
        <f t="shared" si="13"/>
        <v>2.0041503283219075</v>
      </c>
      <c r="J64" s="10"/>
    </row>
    <row r="65" spans="1:44" s="42" customFormat="1">
      <c r="A65" s="80"/>
      <c r="B65" s="10"/>
      <c r="C65" s="10"/>
      <c r="D65" s="10"/>
      <c r="E65" s="10"/>
      <c r="F65" s="10"/>
      <c r="G65" s="10"/>
      <c r="H65" s="10"/>
      <c r="I65" s="10"/>
      <c r="J65" s="10"/>
      <c r="O65" s="41"/>
      <c r="T65"/>
      <c r="U65"/>
      <c r="V65"/>
      <c r="W65"/>
      <c r="X65"/>
      <c r="Y65"/>
      <c r="Z65"/>
      <c r="AA65"/>
      <c r="AB65"/>
      <c r="AC65"/>
      <c r="AD65"/>
      <c r="AE65"/>
      <c r="AF65"/>
      <c r="AG65"/>
      <c r="AH65"/>
      <c r="AI65"/>
      <c r="AJ65"/>
      <c r="AK65"/>
      <c r="AL65"/>
      <c r="AM65"/>
      <c r="AN65"/>
      <c r="AO65"/>
      <c r="AP65"/>
      <c r="AQ65"/>
      <c r="AR65"/>
    </row>
    <row r="66" spans="1:44" s="42" customFormat="1" ht="15" customHeight="1">
      <c r="A66" s="176" t="s">
        <v>105</v>
      </c>
      <c r="B66" s="176"/>
      <c r="C66" s="176"/>
      <c r="D66" s="176"/>
      <c r="E66" s="176"/>
      <c r="F66" s="176"/>
      <c r="G66" s="176"/>
      <c r="H66" s="176"/>
      <c r="I66" s="176"/>
      <c r="J66" s="10"/>
      <c r="T66"/>
      <c r="U66"/>
      <c r="V66"/>
      <c r="W66"/>
      <c r="X66"/>
      <c r="Y66"/>
      <c r="Z66"/>
      <c r="AA66"/>
      <c r="AB66"/>
      <c r="AC66"/>
      <c r="AD66"/>
      <c r="AE66"/>
      <c r="AF66"/>
      <c r="AG66"/>
      <c r="AH66"/>
      <c r="AI66"/>
      <c r="AJ66"/>
      <c r="AK66"/>
      <c r="AL66"/>
      <c r="AM66"/>
      <c r="AN66"/>
      <c r="AO66"/>
      <c r="AP66"/>
      <c r="AQ66"/>
      <c r="AR66"/>
    </row>
    <row r="67" spans="1:44" s="42" customFormat="1" ht="15" customHeight="1">
      <c r="A67" s="180" t="s">
        <v>177</v>
      </c>
      <c r="B67" s="180"/>
      <c r="C67" s="180"/>
      <c r="D67" s="180"/>
      <c r="E67" s="180"/>
      <c r="F67" s="180"/>
      <c r="G67" s="180"/>
      <c r="H67" s="180"/>
      <c r="I67" s="180"/>
      <c r="J67" s="63"/>
      <c r="T67"/>
      <c r="U67"/>
      <c r="V67"/>
      <c r="W67"/>
      <c r="X67"/>
      <c r="Y67"/>
      <c r="Z67"/>
      <c r="AA67"/>
      <c r="AB67"/>
      <c r="AC67"/>
      <c r="AD67"/>
      <c r="AE67"/>
      <c r="AF67"/>
      <c r="AG67"/>
      <c r="AH67"/>
      <c r="AI67"/>
      <c r="AJ67"/>
      <c r="AK67"/>
      <c r="AL67"/>
      <c r="AM67"/>
      <c r="AN67"/>
      <c r="AO67"/>
      <c r="AP67"/>
      <c r="AQ67"/>
      <c r="AR67"/>
    </row>
    <row r="68" spans="1:44" s="42" customFormat="1" ht="15" customHeight="1">
      <c r="A68" s="180"/>
      <c r="B68" s="180"/>
      <c r="C68" s="180"/>
      <c r="D68" s="180"/>
      <c r="E68" s="180"/>
      <c r="F68" s="180"/>
      <c r="G68" s="180"/>
      <c r="H68" s="180"/>
      <c r="I68" s="180"/>
      <c r="J68" s="63"/>
      <c r="K68" s="136"/>
      <c r="L68" s="23"/>
      <c r="M68" s="15"/>
      <c r="N68" s="15"/>
      <c r="P68" s="15"/>
      <c r="Q68" s="29"/>
      <c r="R68" s="15"/>
      <c r="S68" s="15"/>
      <c r="T68"/>
      <c r="U68"/>
      <c r="V68"/>
      <c r="W68"/>
      <c r="X68"/>
      <c r="Y68"/>
      <c r="Z68"/>
      <c r="AA68"/>
      <c r="AB68"/>
      <c r="AC68"/>
      <c r="AD68"/>
      <c r="AE68"/>
      <c r="AF68"/>
      <c r="AG68"/>
      <c r="AH68"/>
      <c r="AI68"/>
      <c r="AJ68"/>
      <c r="AK68"/>
      <c r="AL68"/>
      <c r="AM68"/>
      <c r="AN68"/>
      <c r="AO68"/>
      <c r="AP68"/>
      <c r="AQ68"/>
      <c r="AR68"/>
    </row>
    <row r="69" spans="1:44" s="42" customFormat="1" ht="15" customHeight="1">
      <c r="A69" s="180"/>
      <c r="B69" s="180"/>
      <c r="C69" s="180"/>
      <c r="D69" s="180"/>
      <c r="E69" s="180"/>
      <c r="F69" s="180"/>
      <c r="G69" s="180"/>
      <c r="H69" s="180"/>
      <c r="I69" s="180"/>
      <c r="J69" s="63"/>
      <c r="K69" s="136"/>
      <c r="L69" s="23"/>
      <c r="M69" s="15"/>
      <c r="N69" s="15"/>
      <c r="P69" s="15"/>
      <c r="Q69" s="29"/>
      <c r="R69" s="15"/>
      <c r="S69" s="15"/>
      <c r="T69"/>
      <c r="U69"/>
      <c r="V69"/>
      <c r="W69"/>
      <c r="X69"/>
      <c r="Y69"/>
      <c r="Z69"/>
      <c r="AA69"/>
      <c r="AB69"/>
      <c r="AC69"/>
      <c r="AD69"/>
      <c r="AE69"/>
      <c r="AF69"/>
      <c r="AG69"/>
      <c r="AH69"/>
      <c r="AI69"/>
      <c r="AJ69"/>
      <c r="AK69"/>
      <c r="AL69"/>
      <c r="AM69"/>
      <c r="AN69"/>
      <c r="AO69"/>
      <c r="AP69"/>
      <c r="AQ69"/>
      <c r="AR69"/>
    </row>
    <row r="70" spans="1:44" s="42" customFormat="1">
      <c r="A70" s="21"/>
      <c r="B70" s="10"/>
      <c r="C70" s="10"/>
      <c r="D70" s="10"/>
      <c r="E70" s="10"/>
      <c r="F70" s="10"/>
      <c r="G70" s="10"/>
      <c r="H70" s="10"/>
      <c r="I70" s="10"/>
      <c r="J70" s="123"/>
      <c r="K70" s="136"/>
      <c r="L70" s="23"/>
      <c r="M70" s="15"/>
      <c r="N70" s="15"/>
      <c r="P70" s="15"/>
      <c r="Q70" s="29"/>
      <c r="R70" s="15"/>
      <c r="S70" s="15"/>
      <c r="T70"/>
      <c r="U70"/>
      <c r="V70"/>
      <c r="W70"/>
      <c r="X70"/>
      <c r="Y70"/>
      <c r="Z70"/>
      <c r="AA70"/>
      <c r="AB70"/>
      <c r="AC70"/>
      <c r="AD70"/>
      <c r="AE70"/>
      <c r="AF70"/>
      <c r="AG70"/>
      <c r="AH70"/>
      <c r="AI70"/>
      <c r="AJ70"/>
      <c r="AK70"/>
      <c r="AL70"/>
      <c r="AM70"/>
      <c r="AN70"/>
      <c r="AO70"/>
      <c r="AP70"/>
      <c r="AQ70"/>
      <c r="AR70"/>
    </row>
    <row r="71" spans="1:44" s="42" customFormat="1">
      <c r="A71" s="21"/>
      <c r="B71" s="10"/>
      <c r="C71" s="10"/>
      <c r="D71" s="10"/>
      <c r="E71" s="10"/>
      <c r="F71" s="10"/>
      <c r="G71" s="10"/>
      <c r="H71" s="10"/>
      <c r="I71" s="10"/>
      <c r="J71" s="10"/>
      <c r="K71" s="6"/>
      <c r="L71" s="23"/>
      <c r="M71" s="15"/>
      <c r="N71" s="15"/>
      <c r="P71" s="15"/>
      <c r="Q71" s="29"/>
      <c r="R71" s="15"/>
      <c r="S71" s="15"/>
      <c r="T71"/>
      <c r="U71"/>
      <c r="V71"/>
      <c r="W71"/>
      <c r="X71"/>
      <c r="Y71"/>
      <c r="Z71"/>
      <c r="AA71"/>
      <c r="AB71"/>
      <c r="AC71"/>
      <c r="AD71"/>
      <c r="AE71"/>
      <c r="AF71"/>
      <c r="AG71"/>
      <c r="AH71"/>
      <c r="AI71"/>
      <c r="AJ71"/>
      <c r="AK71"/>
      <c r="AL71"/>
      <c r="AM71"/>
      <c r="AN71"/>
      <c r="AO71"/>
      <c r="AP71"/>
      <c r="AQ71"/>
      <c r="AR71"/>
    </row>
    <row r="72" spans="1:44" s="42" customFormat="1" ht="15" customHeight="1" outlineLevel="1">
      <c r="B72" s="160" t="s">
        <v>176</v>
      </c>
      <c r="C72" s="154"/>
      <c r="D72" s="154"/>
      <c r="E72" s="154"/>
      <c r="F72" s="12"/>
      <c r="G72" s="154"/>
      <c r="H72" s="12"/>
      <c r="I72" s="41"/>
      <c r="J72" s="154"/>
      <c r="K72" s="6"/>
      <c r="L72" s="154" t="s">
        <v>178</v>
      </c>
      <c r="M72" s="154" t="s">
        <v>179</v>
      </c>
      <c r="Q72" s="160"/>
      <c r="T72"/>
      <c r="U72"/>
      <c r="V72"/>
      <c r="W72"/>
      <c r="X72"/>
      <c r="Y72"/>
      <c r="Z72"/>
      <c r="AA72"/>
      <c r="AB72"/>
      <c r="AC72"/>
      <c r="AD72"/>
      <c r="AE72"/>
      <c r="AF72"/>
      <c r="AG72"/>
      <c r="AH72"/>
      <c r="AI72"/>
      <c r="AJ72"/>
      <c r="AK72"/>
      <c r="AL72"/>
      <c r="AM72"/>
      <c r="AN72"/>
      <c r="AO72"/>
      <c r="AP72"/>
      <c r="AQ72"/>
      <c r="AR72"/>
    </row>
    <row r="73" spans="1:44" s="42" customFormat="1" outlineLevel="1">
      <c r="A73" s="42">
        <v>1969</v>
      </c>
      <c r="B73" s="16">
        <v>19.884</v>
      </c>
      <c r="C73" s="154"/>
      <c r="D73" s="154"/>
      <c r="E73" s="154"/>
      <c r="F73" s="12"/>
      <c r="G73" s="154"/>
      <c r="H73" s="12"/>
      <c r="I73" s="41"/>
      <c r="J73" s="12"/>
      <c r="K73" s="160">
        <v>1981</v>
      </c>
      <c r="L73" s="161">
        <v>837503.25</v>
      </c>
      <c r="M73" s="161">
        <v>365252</v>
      </c>
      <c r="N73" s="24">
        <f>M73/L73*100</f>
        <v>43.612009863842324</v>
      </c>
      <c r="Q73" s="160"/>
      <c r="T73"/>
      <c r="U73"/>
      <c r="V73"/>
      <c r="W73"/>
      <c r="X73"/>
      <c r="Y73"/>
      <c r="Z73"/>
      <c r="AA73"/>
      <c r="AB73"/>
      <c r="AC73"/>
      <c r="AD73"/>
      <c r="AE73"/>
      <c r="AF73"/>
      <c r="AG73"/>
      <c r="AH73"/>
      <c r="AI73"/>
      <c r="AJ73"/>
      <c r="AK73"/>
      <c r="AL73"/>
      <c r="AM73"/>
      <c r="AN73"/>
      <c r="AO73"/>
      <c r="AP73"/>
      <c r="AQ73"/>
      <c r="AR73"/>
    </row>
    <row r="74" spans="1:44" s="42" customFormat="1" outlineLevel="1">
      <c r="A74" s="42">
        <v>1970</v>
      </c>
      <c r="B74" s="12">
        <v>20.957000000000001</v>
      </c>
      <c r="C74" s="154"/>
      <c r="D74" s="154"/>
      <c r="E74" s="154"/>
      <c r="F74" s="12"/>
      <c r="G74" s="154"/>
      <c r="H74" s="12"/>
      <c r="I74" s="41"/>
      <c r="J74" s="37"/>
      <c r="K74" s="160">
        <v>1982</v>
      </c>
      <c r="L74" s="161">
        <v>805586.5</v>
      </c>
      <c r="M74" s="161">
        <v>384883</v>
      </c>
      <c r="N74" s="24">
        <f t="shared" ref="N74:N110" si="14">M74/L74*100</f>
        <v>47.776744024384719</v>
      </c>
      <c r="Q74" s="160"/>
      <c r="T74"/>
      <c r="U74"/>
      <c r="V74"/>
      <c r="W74"/>
      <c r="X74"/>
      <c r="Y74"/>
      <c r="Z74"/>
      <c r="AA74"/>
      <c r="AB74"/>
      <c r="AC74"/>
      <c r="AD74"/>
      <c r="AE74"/>
      <c r="AF74"/>
      <c r="AG74"/>
      <c r="AH74"/>
      <c r="AI74"/>
      <c r="AJ74"/>
      <c r="AK74"/>
      <c r="AL74"/>
      <c r="AM74"/>
      <c r="AN74"/>
      <c r="AO74"/>
      <c r="AP74"/>
      <c r="AQ74"/>
      <c r="AR74"/>
    </row>
    <row r="75" spans="1:44" s="42" customFormat="1" outlineLevel="1">
      <c r="A75" s="42">
        <v>1971</v>
      </c>
      <c r="B75" s="12">
        <v>22.05</v>
      </c>
      <c r="C75" s="154"/>
      <c r="D75" s="154"/>
      <c r="E75" s="154"/>
      <c r="F75" s="12"/>
      <c r="G75" s="154"/>
      <c r="H75" s="12"/>
      <c r="I75" s="41"/>
      <c r="J75" s="16"/>
      <c r="K75" s="160">
        <v>1983</v>
      </c>
      <c r="L75" s="161">
        <v>817300.5</v>
      </c>
      <c r="M75" s="161">
        <v>412529</v>
      </c>
      <c r="N75" s="24">
        <f t="shared" si="14"/>
        <v>50.474580646897927</v>
      </c>
      <c r="Q75" s="160"/>
      <c r="T75"/>
      <c r="U75"/>
      <c r="V75"/>
      <c r="W75"/>
      <c r="X75"/>
      <c r="Y75"/>
      <c r="Z75"/>
      <c r="AA75"/>
      <c r="AB75"/>
      <c r="AC75"/>
      <c r="AD75"/>
      <c r="AE75"/>
      <c r="AF75"/>
      <c r="AG75"/>
      <c r="AH75"/>
      <c r="AI75"/>
      <c r="AJ75"/>
      <c r="AK75"/>
      <c r="AL75"/>
      <c r="AM75"/>
      <c r="AN75"/>
      <c r="AO75"/>
      <c r="AP75"/>
      <c r="AQ75"/>
      <c r="AR75"/>
    </row>
    <row r="76" spans="1:44" s="42" customFormat="1" outlineLevel="1">
      <c r="A76" s="42">
        <v>1972</v>
      </c>
      <c r="B76" s="12">
        <v>23.039000000000001</v>
      </c>
      <c r="C76" s="154"/>
      <c r="D76" s="154"/>
      <c r="E76" s="154"/>
      <c r="F76" s="12"/>
      <c r="G76" s="154"/>
      <c r="H76" s="12"/>
      <c r="I76" s="41"/>
      <c r="J76" s="41"/>
      <c r="K76" s="160">
        <v>1984</v>
      </c>
      <c r="L76" s="161">
        <v>842810.5</v>
      </c>
      <c r="M76" s="161">
        <v>443222</v>
      </c>
      <c r="N76" s="24">
        <f t="shared" si="14"/>
        <v>52.588571215000293</v>
      </c>
      <c r="O76" s="154"/>
      <c r="P76" s="154"/>
      <c r="Q76" s="154"/>
      <c r="T76"/>
      <c r="U76"/>
      <c r="V76"/>
      <c r="W76"/>
      <c r="X76"/>
      <c r="Y76"/>
      <c r="Z76"/>
      <c r="AA76"/>
      <c r="AB76"/>
      <c r="AC76"/>
      <c r="AD76"/>
      <c r="AE76"/>
      <c r="AF76"/>
      <c r="AG76"/>
      <c r="AH76"/>
      <c r="AI76"/>
      <c r="AJ76"/>
      <c r="AK76"/>
      <c r="AL76"/>
      <c r="AM76"/>
      <c r="AN76"/>
      <c r="AO76"/>
      <c r="AP76"/>
      <c r="AQ76"/>
      <c r="AR76"/>
    </row>
    <row r="77" spans="1:44" s="42" customFormat="1" outlineLevel="1">
      <c r="A77" s="42">
        <v>1973</v>
      </c>
      <c r="B77" s="12">
        <v>24.36</v>
      </c>
      <c r="C77" s="154"/>
      <c r="D77" s="154"/>
      <c r="E77" s="154"/>
      <c r="F77" s="12"/>
      <c r="G77" s="154"/>
      <c r="H77" s="12"/>
      <c r="I77" s="41"/>
      <c r="J77" s="41"/>
      <c r="K77" s="160">
        <v>1985</v>
      </c>
      <c r="L77" s="161">
        <v>888595.5</v>
      </c>
      <c r="M77" s="161">
        <v>484448</v>
      </c>
      <c r="N77" s="24">
        <f t="shared" si="14"/>
        <v>54.51839447757726</v>
      </c>
      <c r="O77" s="154"/>
      <c r="P77" s="154"/>
      <c r="Q77" s="154"/>
      <c r="T77"/>
      <c r="U77"/>
      <c r="V77"/>
      <c r="W77"/>
      <c r="X77"/>
      <c r="Y77"/>
      <c r="Z77"/>
      <c r="AA77"/>
      <c r="AB77"/>
      <c r="AC77"/>
      <c r="AD77"/>
      <c r="AE77"/>
      <c r="AF77"/>
      <c r="AG77"/>
      <c r="AH77"/>
      <c r="AI77"/>
      <c r="AJ77"/>
      <c r="AK77"/>
      <c r="AL77"/>
      <c r="AM77"/>
      <c r="AN77"/>
      <c r="AO77"/>
      <c r="AP77"/>
      <c r="AQ77"/>
      <c r="AR77"/>
    </row>
    <row r="78" spans="1:44" s="42" customFormat="1" outlineLevel="1">
      <c r="A78" s="42">
        <v>1974</v>
      </c>
      <c r="B78" s="12">
        <v>26.831</v>
      </c>
      <c r="C78" s="154"/>
      <c r="D78" s="154"/>
      <c r="E78" s="154"/>
      <c r="F78" s="12"/>
      <c r="G78" s="154"/>
      <c r="H78" s="12"/>
      <c r="I78" s="41"/>
      <c r="J78" s="41"/>
      <c r="K78" s="160">
        <v>1986</v>
      </c>
      <c r="L78" s="161">
        <v>916428.25</v>
      </c>
      <c r="M78" s="161">
        <v>519300</v>
      </c>
      <c r="N78" s="24">
        <f t="shared" si="14"/>
        <v>56.665647310632338</v>
      </c>
      <c r="O78" s="154"/>
      <c r="P78" s="154"/>
      <c r="Q78" s="154"/>
      <c r="T78"/>
      <c r="U78"/>
      <c r="V78"/>
      <c r="W78"/>
      <c r="X78"/>
      <c r="Y78"/>
      <c r="Z78"/>
      <c r="AA78"/>
      <c r="AB78"/>
      <c r="AC78"/>
      <c r="AD78"/>
      <c r="AE78"/>
      <c r="AF78"/>
      <c r="AG78"/>
      <c r="AH78"/>
      <c r="AI78"/>
      <c r="AJ78"/>
      <c r="AK78"/>
      <c r="AL78"/>
      <c r="AM78"/>
      <c r="AN78"/>
      <c r="AO78"/>
      <c r="AP78"/>
      <c r="AQ78"/>
      <c r="AR78"/>
    </row>
    <row r="79" spans="1:44" s="42" customFormat="1" outlineLevel="1">
      <c r="A79" s="42">
        <v>1975</v>
      </c>
      <c r="B79" s="12">
        <v>29.286999999999999</v>
      </c>
      <c r="C79" s="154"/>
      <c r="D79" s="154"/>
      <c r="E79" s="154"/>
      <c r="F79" s="12"/>
      <c r="G79" s="154"/>
      <c r="H79" s="12"/>
      <c r="I79" s="41"/>
      <c r="J79" s="41"/>
      <c r="K79" s="160">
        <v>1987</v>
      </c>
      <c r="L79" s="161">
        <v>957083.75</v>
      </c>
      <c r="M79" s="161">
        <v>564947</v>
      </c>
      <c r="N79" s="24">
        <f t="shared" si="14"/>
        <v>59.027958629534773</v>
      </c>
      <c r="O79" s="154"/>
      <c r="P79" s="154"/>
      <c r="Q79" s="154"/>
      <c r="T79"/>
      <c r="U79"/>
      <c r="V79"/>
      <c r="W79"/>
      <c r="X79"/>
      <c r="Y79"/>
      <c r="Z79"/>
      <c r="AA79"/>
      <c r="AB79"/>
      <c r="AC79"/>
      <c r="AD79"/>
      <c r="AE79"/>
      <c r="AF79"/>
      <c r="AG79"/>
      <c r="AH79"/>
      <c r="AI79"/>
      <c r="AJ79"/>
      <c r="AK79"/>
      <c r="AL79"/>
      <c r="AM79"/>
      <c r="AN79"/>
      <c r="AO79"/>
      <c r="AP79"/>
      <c r="AQ79"/>
      <c r="AR79"/>
    </row>
    <row r="80" spans="1:44" s="42" customFormat="1" outlineLevel="1">
      <c r="A80" s="42">
        <v>1976</v>
      </c>
      <c r="B80" s="12">
        <v>30.907</v>
      </c>
      <c r="C80" s="154"/>
      <c r="D80" s="154"/>
      <c r="E80" s="154"/>
      <c r="F80" s="12"/>
      <c r="G80" s="154"/>
      <c r="H80" s="12"/>
      <c r="I80" s="41"/>
      <c r="J80" s="41"/>
      <c r="K80" s="160">
        <v>1988</v>
      </c>
      <c r="L80" s="161">
        <v>1004718.5</v>
      </c>
      <c r="M80" s="161">
        <v>615776</v>
      </c>
      <c r="N80" s="24">
        <f t="shared" si="14"/>
        <v>61.288410634421489</v>
      </c>
      <c r="O80" s="154"/>
      <c r="P80" s="154"/>
      <c r="Q80" s="154"/>
      <c r="T80"/>
      <c r="U80"/>
      <c r="V80"/>
      <c r="W80"/>
      <c r="X80"/>
      <c r="Y80"/>
      <c r="Z80"/>
      <c r="AA80"/>
      <c r="AB80"/>
      <c r="AC80"/>
      <c r="AD80"/>
      <c r="AE80"/>
      <c r="AF80"/>
      <c r="AG80"/>
      <c r="AH80"/>
      <c r="AI80"/>
      <c r="AJ80"/>
      <c r="AK80"/>
      <c r="AL80"/>
      <c r="AM80"/>
      <c r="AN80"/>
      <c r="AO80"/>
      <c r="AP80"/>
      <c r="AQ80"/>
      <c r="AR80"/>
    </row>
    <row r="81" spans="1:44" s="42" customFormat="1" outlineLevel="1">
      <c r="A81" s="42">
        <v>1977</v>
      </c>
      <c r="B81" s="12">
        <v>32.959000000000003</v>
      </c>
      <c r="C81" s="154"/>
      <c r="D81" s="154"/>
      <c r="E81" s="154"/>
      <c r="F81" s="12"/>
      <c r="G81" s="154"/>
      <c r="H81" s="12"/>
      <c r="I81" s="41"/>
      <c r="J81" s="41"/>
      <c r="K81" s="160">
        <v>1989</v>
      </c>
      <c r="L81" s="161">
        <v>1041004.25</v>
      </c>
      <c r="M81" s="161">
        <v>666208</v>
      </c>
      <c r="N81" s="24">
        <f t="shared" si="14"/>
        <v>63.99666475905358</v>
      </c>
      <c r="O81" s="154"/>
      <c r="P81" s="154"/>
      <c r="Q81" s="154"/>
      <c r="T81"/>
      <c r="U81"/>
      <c r="V81"/>
      <c r="W81"/>
      <c r="X81"/>
      <c r="Y81"/>
      <c r="Z81"/>
      <c r="AA81"/>
      <c r="AB81"/>
      <c r="AC81"/>
      <c r="AD81"/>
      <c r="AE81"/>
      <c r="AF81"/>
      <c r="AG81"/>
      <c r="AH81"/>
      <c r="AI81"/>
      <c r="AJ81"/>
      <c r="AK81"/>
      <c r="AL81"/>
      <c r="AM81"/>
      <c r="AN81"/>
      <c r="AO81"/>
      <c r="AP81"/>
      <c r="AQ81"/>
      <c r="AR81"/>
    </row>
    <row r="82" spans="1:44" s="42" customFormat="1" outlineLevel="1">
      <c r="A82" s="42">
        <v>1978</v>
      </c>
      <c r="B82" s="12">
        <v>35.314</v>
      </c>
      <c r="C82" s="154"/>
      <c r="D82" s="154"/>
      <c r="E82" s="154"/>
      <c r="F82" s="12"/>
      <c r="G82" s="154"/>
      <c r="H82" s="12"/>
      <c r="I82" s="41"/>
      <c r="J82" s="41"/>
      <c r="K82" s="160">
        <v>1990</v>
      </c>
      <c r="L82" s="161">
        <v>1048211.75</v>
      </c>
      <c r="M82" s="161">
        <v>696765</v>
      </c>
      <c r="N82" s="24">
        <f t="shared" si="14"/>
        <v>66.471779199193293</v>
      </c>
      <c r="O82" s="154"/>
      <c r="P82" s="154"/>
      <c r="Q82" s="154"/>
      <c r="T82"/>
      <c r="U82"/>
      <c r="V82"/>
      <c r="W82"/>
      <c r="X82"/>
      <c r="Y82"/>
      <c r="Z82"/>
      <c r="AA82"/>
      <c r="AB82"/>
      <c r="AC82"/>
      <c r="AD82"/>
      <c r="AE82"/>
      <c r="AF82"/>
      <c r="AG82"/>
      <c r="AH82"/>
      <c r="AI82"/>
      <c r="AJ82"/>
      <c r="AK82"/>
      <c r="AL82"/>
      <c r="AM82"/>
      <c r="AN82"/>
      <c r="AO82"/>
      <c r="AP82"/>
      <c r="AQ82"/>
      <c r="AR82"/>
    </row>
    <row r="83" spans="1:44" s="42" customFormat="1" outlineLevel="1">
      <c r="A83" s="42">
        <v>1979</v>
      </c>
      <c r="B83" s="12">
        <v>38.411999999999999</v>
      </c>
      <c r="C83" s="154"/>
      <c r="D83" s="154"/>
      <c r="E83" s="154"/>
      <c r="F83" s="12"/>
      <c r="G83" s="154"/>
      <c r="H83" s="12"/>
      <c r="I83" s="41"/>
      <c r="J83" s="41"/>
      <c r="K83" s="160">
        <v>1991</v>
      </c>
      <c r="L83" s="161">
        <v>1037779.75</v>
      </c>
      <c r="M83" s="161">
        <v>712892</v>
      </c>
      <c r="N83" s="24">
        <f t="shared" si="14"/>
        <v>68.693959387818083</v>
      </c>
      <c r="O83" s="154"/>
      <c r="P83" s="154"/>
      <c r="Q83" s="154"/>
      <c r="T83"/>
      <c r="U83"/>
      <c r="V83"/>
      <c r="W83"/>
      <c r="X83"/>
      <c r="Y83"/>
      <c r="Z83"/>
      <c r="AA83"/>
      <c r="AB83"/>
      <c r="AC83"/>
      <c r="AD83"/>
      <c r="AE83"/>
      <c r="AF83"/>
      <c r="AG83"/>
      <c r="AH83"/>
      <c r="AI83"/>
      <c r="AJ83"/>
      <c r="AK83"/>
      <c r="AL83"/>
      <c r="AM83"/>
      <c r="AN83"/>
      <c r="AO83"/>
      <c r="AP83"/>
      <c r="AQ83"/>
      <c r="AR83"/>
    </row>
    <row r="84" spans="1:44" s="42" customFormat="1" outlineLevel="1">
      <c r="A84" s="42">
        <v>1980</v>
      </c>
      <c r="B84" s="12">
        <v>42.408999999999999</v>
      </c>
      <c r="C84" s="154"/>
      <c r="D84" s="154"/>
      <c r="E84" s="154"/>
      <c r="F84" s="12"/>
      <c r="G84" s="154"/>
      <c r="H84" s="12"/>
      <c r="I84" s="41"/>
      <c r="J84" s="41"/>
      <c r="K84" s="160">
        <v>1992</v>
      </c>
      <c r="L84" s="161">
        <v>1042798</v>
      </c>
      <c r="M84" s="161">
        <v>729630</v>
      </c>
      <c r="N84" s="24">
        <f t="shared" si="14"/>
        <v>69.968488623875373</v>
      </c>
      <c r="O84" s="154"/>
      <c r="P84" s="154"/>
      <c r="Q84" s="154"/>
      <c r="T84"/>
      <c r="U84"/>
      <c r="V84"/>
      <c r="W84"/>
      <c r="X84"/>
      <c r="Y84"/>
      <c r="Z84"/>
      <c r="AA84"/>
      <c r="AB84"/>
      <c r="AC84"/>
      <c r="AD84"/>
      <c r="AE84"/>
      <c r="AF84"/>
      <c r="AG84"/>
      <c r="AH84"/>
      <c r="AI84"/>
      <c r="AJ84"/>
      <c r="AK84"/>
      <c r="AL84"/>
      <c r="AM84"/>
      <c r="AN84"/>
      <c r="AO84"/>
      <c r="AP84"/>
      <c r="AQ84"/>
      <c r="AR84"/>
    </row>
    <row r="85" spans="1:44" s="42" customFormat="1" outlineLevel="1">
      <c r="A85" s="42">
        <v>1981</v>
      </c>
      <c r="B85" s="12">
        <v>46.31</v>
      </c>
      <c r="C85" s="154"/>
      <c r="D85" s="154"/>
      <c r="E85" s="154"/>
      <c r="F85" s="12"/>
      <c r="G85" s="154"/>
      <c r="H85" s="12"/>
      <c r="I85" s="41"/>
      <c r="J85" s="41"/>
      <c r="K85" s="160">
        <v>1993</v>
      </c>
      <c r="L85" s="161">
        <v>1050945</v>
      </c>
      <c r="M85" s="161">
        <v>748630</v>
      </c>
      <c r="N85" s="24">
        <f t="shared" si="14"/>
        <v>71.233984651908528</v>
      </c>
      <c r="O85" s="154"/>
      <c r="P85" s="154"/>
      <c r="Q85" s="154"/>
      <c r="T85"/>
      <c r="U85"/>
      <c r="V85"/>
      <c r="W85"/>
      <c r="X85"/>
      <c r="Y85"/>
      <c r="Z85"/>
      <c r="AA85"/>
      <c r="AB85"/>
      <c r="AC85"/>
      <c r="AD85"/>
      <c r="AE85"/>
      <c r="AF85"/>
      <c r="AG85"/>
      <c r="AH85"/>
      <c r="AI85"/>
      <c r="AJ85"/>
      <c r="AK85"/>
      <c r="AL85"/>
      <c r="AM85"/>
      <c r="AN85"/>
      <c r="AO85"/>
      <c r="AP85"/>
      <c r="AQ85"/>
      <c r="AR85"/>
    </row>
    <row r="86" spans="1:44" s="42" customFormat="1" outlineLevel="1">
      <c r="A86" s="42">
        <v>1982</v>
      </c>
      <c r="B86" s="12">
        <v>49.006999999999998</v>
      </c>
      <c r="C86" s="154"/>
      <c r="D86" s="154"/>
      <c r="E86" s="154"/>
      <c r="F86" s="12"/>
      <c r="G86" s="154"/>
      <c r="H86" s="12"/>
      <c r="I86" s="41"/>
      <c r="J86" s="41"/>
      <c r="K86" s="160">
        <v>1994</v>
      </c>
      <c r="L86" s="161">
        <v>1078711.25</v>
      </c>
      <c r="M86" s="161">
        <v>781485</v>
      </c>
      <c r="N86" s="24">
        <f t="shared" si="14"/>
        <v>72.44617129931666</v>
      </c>
      <c r="O86" s="154"/>
      <c r="P86" s="154"/>
      <c r="Q86" s="154"/>
      <c r="R86" s="154"/>
      <c r="T86"/>
      <c r="U86"/>
      <c r="V86"/>
      <c r="W86"/>
      <c r="X86"/>
      <c r="Y86"/>
      <c r="Z86"/>
      <c r="AA86"/>
      <c r="AB86"/>
      <c r="AC86"/>
      <c r="AD86"/>
      <c r="AE86"/>
      <c r="AF86"/>
      <c r="AG86"/>
      <c r="AH86"/>
      <c r="AI86"/>
      <c r="AJ86"/>
      <c r="AK86"/>
      <c r="AL86"/>
      <c r="AM86"/>
      <c r="AN86"/>
      <c r="AO86"/>
      <c r="AP86"/>
      <c r="AQ86"/>
      <c r="AR86"/>
    </row>
    <row r="87" spans="1:44" s="42" customFormat="1" outlineLevel="1">
      <c r="A87" s="42">
        <v>1983</v>
      </c>
      <c r="B87" s="12">
        <v>50.713999999999999</v>
      </c>
      <c r="C87" s="154"/>
      <c r="D87" s="154"/>
      <c r="E87" s="154"/>
      <c r="F87" s="12"/>
      <c r="G87" s="154"/>
      <c r="H87" s="12"/>
      <c r="I87" s="41"/>
      <c r="J87" s="41"/>
      <c r="K87" s="160">
        <v>1995</v>
      </c>
      <c r="L87" s="161">
        <v>1087176.75</v>
      </c>
      <c r="M87" s="161">
        <v>797066</v>
      </c>
      <c r="N87" s="24">
        <f t="shared" si="14"/>
        <v>73.315217603761312</v>
      </c>
      <c r="O87" s="154"/>
      <c r="P87" s="154"/>
      <c r="Q87" s="154"/>
      <c r="T87"/>
      <c r="U87"/>
      <c r="V87"/>
      <c r="W87"/>
      <c r="X87"/>
      <c r="Y87"/>
      <c r="Z87"/>
      <c r="AA87"/>
      <c r="AB87"/>
      <c r="AC87"/>
      <c r="AD87"/>
      <c r="AE87"/>
      <c r="AF87"/>
      <c r="AG87"/>
      <c r="AH87"/>
      <c r="AI87"/>
      <c r="AJ87"/>
      <c r="AK87"/>
      <c r="AL87"/>
      <c r="AM87"/>
      <c r="AN87"/>
      <c r="AO87"/>
      <c r="AP87"/>
      <c r="AQ87"/>
      <c r="AR87"/>
    </row>
    <row r="88" spans="1:44" s="42" customFormat="1" outlineLevel="1">
      <c r="A88" s="42">
        <v>1984</v>
      </c>
      <c r="B88" s="12">
        <v>52.429000000000002</v>
      </c>
      <c r="C88" s="154"/>
      <c r="D88" s="154"/>
      <c r="E88" s="154"/>
      <c r="F88" s="12"/>
      <c r="G88" s="154"/>
      <c r="H88" s="12"/>
      <c r="I88" s="41"/>
      <c r="J88" s="41"/>
      <c r="K88" s="160">
        <v>1996</v>
      </c>
      <c r="L88" s="161">
        <v>1113227.25</v>
      </c>
      <c r="M88" s="161">
        <v>825466</v>
      </c>
      <c r="N88" s="24">
        <f t="shared" si="14"/>
        <v>74.150718103603737</v>
      </c>
      <c r="O88" s="154"/>
      <c r="P88" s="154"/>
      <c r="Q88" s="154"/>
      <c r="T88"/>
      <c r="U88"/>
      <c r="V88"/>
      <c r="W88"/>
      <c r="X88"/>
      <c r="Y88"/>
      <c r="Z88"/>
      <c r="AA88"/>
      <c r="AB88"/>
      <c r="AC88"/>
      <c r="AD88"/>
      <c r="AE88"/>
      <c r="AF88"/>
      <c r="AG88"/>
      <c r="AH88"/>
      <c r="AI88"/>
      <c r="AJ88"/>
      <c r="AK88"/>
      <c r="AL88"/>
      <c r="AM88"/>
      <c r="AN88"/>
      <c r="AO88"/>
      <c r="AP88"/>
      <c r="AQ88"/>
      <c r="AR88"/>
    </row>
    <row r="89" spans="1:44" s="42" customFormat="1" outlineLevel="1">
      <c r="A89" s="42">
        <v>1985</v>
      </c>
      <c r="B89" s="12">
        <v>54.018999999999998</v>
      </c>
      <c r="C89" s="154"/>
      <c r="D89" s="154"/>
      <c r="E89" s="154"/>
      <c r="F89" s="12"/>
      <c r="G89" s="154"/>
      <c r="H89" s="12"/>
      <c r="I89" s="41"/>
      <c r="J89" s="41"/>
      <c r="K89" s="160">
        <v>1997</v>
      </c>
      <c r="L89" s="161">
        <v>1169331.75</v>
      </c>
      <c r="M89" s="161">
        <v>880095</v>
      </c>
      <c r="N89" s="24">
        <f t="shared" si="14"/>
        <v>75.264782641880714</v>
      </c>
      <c r="O89" s="154"/>
      <c r="P89" s="154"/>
      <c r="Q89" s="154"/>
      <c r="T89"/>
      <c r="U89"/>
      <c r="V89"/>
      <c r="W89"/>
      <c r="X89"/>
      <c r="Y89"/>
      <c r="Z89"/>
      <c r="AA89"/>
      <c r="AB89"/>
      <c r="AC89"/>
      <c r="AD89"/>
      <c r="AE89"/>
      <c r="AF89"/>
      <c r="AG89"/>
      <c r="AH89"/>
      <c r="AI89"/>
      <c r="AJ89"/>
      <c r="AK89"/>
      <c r="AL89"/>
      <c r="AM89"/>
      <c r="AN89"/>
      <c r="AO89"/>
      <c r="AP89"/>
      <c r="AQ89"/>
      <c r="AR89"/>
    </row>
    <row r="90" spans="1:44" s="42" customFormat="1" outlineLevel="1">
      <c r="A90" s="42">
        <v>1986</v>
      </c>
      <c r="B90" s="12">
        <v>55.164999999999999</v>
      </c>
      <c r="C90" s="154"/>
      <c r="D90" s="154"/>
      <c r="E90" s="154"/>
      <c r="F90" s="12"/>
      <c r="G90" s="154"/>
      <c r="H90" s="12"/>
      <c r="I90" s="41"/>
      <c r="J90" s="41"/>
      <c r="K90" s="160">
        <v>1998</v>
      </c>
      <c r="L90" s="161">
        <v>1200657</v>
      </c>
      <c r="M90" s="161">
        <v>916970</v>
      </c>
      <c r="N90" s="24">
        <f t="shared" si="14"/>
        <v>76.372352803506743</v>
      </c>
      <c r="O90" s="154"/>
      <c r="P90" s="154"/>
      <c r="Q90" s="154"/>
      <c r="T90"/>
      <c r="U90"/>
      <c r="V90"/>
      <c r="W90"/>
      <c r="X90"/>
      <c r="Y90"/>
      <c r="Z90"/>
      <c r="AA90"/>
      <c r="AB90"/>
      <c r="AC90"/>
      <c r="AD90"/>
      <c r="AE90"/>
      <c r="AF90"/>
      <c r="AG90"/>
      <c r="AH90"/>
      <c r="AI90"/>
      <c r="AJ90"/>
      <c r="AK90"/>
      <c r="AL90"/>
      <c r="AM90"/>
      <c r="AN90"/>
      <c r="AO90"/>
      <c r="AP90"/>
      <c r="AQ90"/>
      <c r="AR90"/>
    </row>
    <row r="91" spans="1:44" s="42" customFormat="1" outlineLevel="1">
      <c r="A91" s="42">
        <v>1987</v>
      </c>
      <c r="B91" s="12">
        <v>56.719000000000001</v>
      </c>
      <c r="C91" s="154"/>
      <c r="D91" s="154"/>
      <c r="E91" s="154"/>
      <c r="F91" s="12"/>
      <c r="G91" s="154"/>
      <c r="H91" s="12"/>
      <c r="I91" s="41"/>
      <c r="J91" s="41"/>
      <c r="K91" s="160">
        <v>1999</v>
      </c>
      <c r="L91" s="161">
        <v>1246638.75</v>
      </c>
      <c r="M91" s="161">
        <v>965430</v>
      </c>
      <c r="N91" s="24">
        <f t="shared" si="14"/>
        <v>77.442643267746973</v>
      </c>
      <c r="O91" s="154"/>
      <c r="P91" s="154"/>
      <c r="Q91" s="154"/>
      <c r="T91"/>
      <c r="U91"/>
      <c r="V91"/>
      <c r="W91"/>
      <c r="X91"/>
      <c r="Y91"/>
      <c r="Z91"/>
      <c r="AA91"/>
      <c r="AB91"/>
      <c r="AC91"/>
      <c r="AD91"/>
      <c r="AE91"/>
      <c r="AF91"/>
      <c r="AG91"/>
      <c r="AH91"/>
      <c r="AI91"/>
      <c r="AJ91"/>
      <c r="AK91"/>
      <c r="AL91"/>
      <c r="AM91"/>
      <c r="AN91"/>
      <c r="AO91"/>
      <c r="AP91"/>
      <c r="AQ91"/>
      <c r="AR91"/>
    </row>
    <row r="92" spans="1:44" s="42" customFormat="1" outlineLevel="1">
      <c r="A92" s="42">
        <v>1988</v>
      </c>
      <c r="B92" s="12">
        <v>58.755000000000003</v>
      </c>
      <c r="C92" s="154"/>
      <c r="D92" s="154"/>
      <c r="E92" s="154"/>
      <c r="F92" s="12"/>
      <c r="G92" s="154"/>
      <c r="H92" s="12"/>
      <c r="I92" s="41"/>
      <c r="J92" s="41"/>
      <c r="K92" s="160">
        <v>2000</v>
      </c>
      <c r="L92" s="161">
        <v>1298309</v>
      </c>
      <c r="M92" s="161">
        <v>1031547</v>
      </c>
      <c r="N92" s="24">
        <f t="shared" si="14"/>
        <v>79.453119403778288</v>
      </c>
      <c r="O92" s="154"/>
      <c r="P92" s="154"/>
      <c r="Q92" s="154"/>
      <c r="T92"/>
      <c r="U92"/>
      <c r="V92"/>
      <c r="W92"/>
      <c r="X92"/>
      <c r="Y92"/>
      <c r="Z92"/>
      <c r="AA92"/>
      <c r="AB92"/>
      <c r="AC92"/>
      <c r="AD92"/>
      <c r="AE92"/>
      <c r="AF92"/>
      <c r="AG92"/>
      <c r="AH92"/>
      <c r="AI92"/>
      <c r="AJ92"/>
      <c r="AK92"/>
      <c r="AL92"/>
      <c r="AM92"/>
      <c r="AN92"/>
      <c r="AO92"/>
      <c r="AP92"/>
      <c r="AQ92"/>
      <c r="AR92"/>
    </row>
    <row r="93" spans="1:44" s="42" customFormat="1" outlineLevel="1">
      <c r="A93" s="42">
        <v>1989</v>
      </c>
      <c r="B93" s="16">
        <v>61.073999999999998</v>
      </c>
      <c r="C93" s="154"/>
      <c r="D93" s="154"/>
      <c r="E93" s="154"/>
      <c r="F93" s="12"/>
      <c r="G93" s="154"/>
      <c r="H93" s="12"/>
      <c r="I93" s="154"/>
      <c r="J93" s="41"/>
      <c r="K93" s="160">
        <v>2001</v>
      </c>
      <c r="L93" s="161">
        <v>1339024.75</v>
      </c>
      <c r="M93" s="161">
        <v>1084957</v>
      </c>
      <c r="N93" s="24">
        <f t="shared" si="14"/>
        <v>81.025910835479337</v>
      </c>
      <c r="O93" s="154"/>
      <c r="P93" s="154"/>
      <c r="Q93" s="154"/>
      <c r="T93"/>
      <c r="U93"/>
      <c r="V93"/>
      <c r="W93"/>
      <c r="X93"/>
      <c r="Y93"/>
      <c r="Z93"/>
      <c r="AA93"/>
      <c r="AB93"/>
      <c r="AC93"/>
      <c r="AD93"/>
      <c r="AE93"/>
      <c r="AF93"/>
      <c r="AG93"/>
      <c r="AH93"/>
      <c r="AI93"/>
      <c r="AJ93"/>
      <c r="AK93"/>
      <c r="AL93"/>
      <c r="AM93"/>
      <c r="AN93"/>
      <c r="AO93"/>
      <c r="AP93"/>
      <c r="AQ93"/>
      <c r="AR93"/>
    </row>
    <row r="94" spans="1:44" s="42" customFormat="1" outlineLevel="1">
      <c r="A94" s="42">
        <v>1990</v>
      </c>
      <c r="B94" s="16">
        <v>63.505000000000003</v>
      </c>
      <c r="C94" s="154"/>
      <c r="D94" s="154"/>
      <c r="E94" s="154"/>
      <c r="F94" s="12"/>
      <c r="G94" s="154"/>
      <c r="H94" s="12"/>
      <c r="I94" s="154"/>
      <c r="J94" s="41"/>
      <c r="K94" s="160">
        <v>2002</v>
      </c>
      <c r="L94" s="161">
        <v>1379200.25</v>
      </c>
      <c r="M94" s="161">
        <v>1143606</v>
      </c>
      <c r="N94" s="24">
        <f t="shared" si="14"/>
        <v>82.91805341537605</v>
      </c>
      <c r="O94" s="154"/>
      <c r="P94" s="154"/>
      <c r="Q94" s="154"/>
      <c r="T94"/>
      <c r="U94"/>
      <c r="V94"/>
      <c r="W94"/>
      <c r="X94"/>
      <c r="Y94"/>
      <c r="Z94"/>
      <c r="AA94"/>
      <c r="AB94"/>
      <c r="AC94"/>
      <c r="AD94"/>
      <c r="AE94"/>
      <c r="AF94"/>
      <c r="AG94"/>
      <c r="AH94"/>
      <c r="AI94"/>
      <c r="AJ94"/>
      <c r="AK94"/>
      <c r="AL94"/>
      <c r="AM94"/>
      <c r="AN94"/>
      <c r="AO94"/>
      <c r="AP94"/>
      <c r="AQ94"/>
      <c r="AR94"/>
    </row>
    <row r="95" spans="1:44" s="42" customFormat="1" outlineLevel="1">
      <c r="A95" s="42">
        <v>1991</v>
      </c>
      <c r="B95" s="16">
        <v>65.506</v>
      </c>
      <c r="C95" s="154"/>
      <c r="D95" s="154"/>
      <c r="E95" s="154"/>
      <c r="F95" s="12"/>
      <c r="G95" s="154"/>
      <c r="H95" s="12"/>
      <c r="I95" s="154"/>
      <c r="J95" s="41"/>
      <c r="K95" s="160">
        <v>2003</v>
      </c>
      <c r="L95" s="161">
        <v>1424459.75</v>
      </c>
      <c r="M95" s="161">
        <v>1199875</v>
      </c>
      <c r="N95" s="24">
        <f t="shared" si="14"/>
        <v>84.233689298697271</v>
      </c>
      <c r="O95" s="154"/>
      <c r="P95" s="154"/>
      <c r="Q95" s="154"/>
      <c r="T95"/>
      <c r="U95"/>
      <c r="V95"/>
      <c r="W95"/>
      <c r="X95"/>
      <c r="Y95"/>
      <c r="Z95"/>
      <c r="AA95"/>
      <c r="AB95"/>
      <c r="AC95"/>
      <c r="AD95"/>
      <c r="AE95"/>
      <c r="AF95"/>
      <c r="AG95"/>
      <c r="AH95"/>
      <c r="AI95"/>
      <c r="AJ95"/>
      <c r="AK95"/>
      <c r="AL95"/>
      <c r="AM95"/>
      <c r="AN95"/>
      <c r="AO95"/>
      <c r="AP95"/>
      <c r="AQ95"/>
      <c r="AR95"/>
    </row>
    <row r="96" spans="1:44" s="42" customFormat="1" outlineLevel="1">
      <c r="A96" s="42">
        <v>1992</v>
      </c>
      <c r="B96" s="16">
        <v>67.037000000000006</v>
      </c>
      <c r="C96" s="154"/>
      <c r="D96" s="154"/>
      <c r="E96" s="154"/>
      <c r="F96" s="12"/>
      <c r="G96" s="154"/>
      <c r="H96" s="12"/>
      <c r="I96" s="154"/>
      <c r="J96" s="41"/>
      <c r="K96" s="160">
        <v>2004</v>
      </c>
      <c r="L96" s="161">
        <v>1480402.25</v>
      </c>
      <c r="M96" s="161">
        <v>1269536</v>
      </c>
      <c r="N96" s="24">
        <f t="shared" si="14"/>
        <v>85.756151748621022</v>
      </c>
      <c r="O96" s="154"/>
      <c r="P96" s="154"/>
      <c r="Q96" s="154"/>
      <c r="T96"/>
      <c r="U96"/>
      <c r="V96"/>
      <c r="W96"/>
      <c r="X96"/>
      <c r="Y96"/>
      <c r="Z96"/>
      <c r="AA96"/>
      <c r="AB96"/>
      <c r="AC96"/>
      <c r="AD96"/>
      <c r="AE96"/>
      <c r="AF96"/>
      <c r="AG96"/>
      <c r="AH96"/>
      <c r="AI96"/>
      <c r="AJ96"/>
      <c r="AK96"/>
      <c r="AL96"/>
      <c r="AM96"/>
      <c r="AN96"/>
      <c r="AO96"/>
      <c r="AP96"/>
      <c r="AQ96"/>
      <c r="AR96"/>
    </row>
    <row r="97" spans="1:44" s="42" customFormat="1" outlineLevel="1">
      <c r="A97" s="42">
        <v>1993</v>
      </c>
      <c r="B97" s="16">
        <v>68.554000000000002</v>
      </c>
      <c r="C97" s="154"/>
      <c r="D97" s="154"/>
      <c r="E97" s="154"/>
      <c r="F97" s="12"/>
      <c r="G97" s="154"/>
      <c r="H97" s="12"/>
      <c r="I97" s="154"/>
      <c r="J97" s="41"/>
      <c r="K97" s="160">
        <v>2005</v>
      </c>
      <c r="L97" s="161">
        <v>1546740.5</v>
      </c>
      <c r="M97" s="161">
        <v>1354174</v>
      </c>
      <c r="N97" s="24">
        <f t="shared" si="14"/>
        <v>87.550174059578836</v>
      </c>
      <c r="O97" s="154"/>
      <c r="P97" s="154"/>
      <c r="Q97" s="154"/>
      <c r="T97"/>
      <c r="U97"/>
      <c r="V97"/>
      <c r="W97"/>
      <c r="X97"/>
      <c r="Y97"/>
      <c r="Z97"/>
      <c r="AA97"/>
      <c r="AB97"/>
      <c r="AC97"/>
      <c r="AD97"/>
      <c r="AE97"/>
      <c r="AF97"/>
      <c r="AG97"/>
      <c r="AH97"/>
      <c r="AI97"/>
      <c r="AJ97"/>
      <c r="AK97"/>
      <c r="AL97"/>
      <c r="AM97"/>
      <c r="AN97"/>
      <c r="AO97"/>
      <c r="AP97"/>
      <c r="AQ97"/>
      <c r="AR97"/>
    </row>
    <row r="98" spans="1:44" s="42" customFormat="1" outlineLevel="1">
      <c r="A98" s="42">
        <v>1994</v>
      </c>
      <c r="B98" s="16">
        <v>69.998999999999995</v>
      </c>
      <c r="C98" s="154"/>
      <c r="D98" s="154"/>
      <c r="E98" s="154"/>
      <c r="F98" s="12"/>
      <c r="G98" s="154"/>
      <c r="H98" s="12"/>
      <c r="I98" s="154"/>
      <c r="J98" s="41"/>
      <c r="K98" s="160">
        <v>2006</v>
      </c>
      <c r="L98" s="161">
        <v>1614415</v>
      </c>
      <c r="M98" s="161">
        <v>1445558</v>
      </c>
      <c r="N98" s="24">
        <f t="shared" si="14"/>
        <v>89.540669530449108</v>
      </c>
      <c r="O98" s="154"/>
      <c r="P98" s="154"/>
      <c r="Q98" s="154"/>
      <c r="R98" s="154"/>
      <c r="S98" s="154"/>
      <c r="T98"/>
      <c r="U98"/>
      <c r="V98"/>
      <c r="W98"/>
      <c r="X98"/>
      <c r="Y98"/>
      <c r="Z98"/>
      <c r="AA98"/>
      <c r="AB98"/>
      <c r="AC98"/>
      <c r="AD98"/>
      <c r="AE98"/>
      <c r="AF98"/>
      <c r="AG98"/>
      <c r="AH98"/>
      <c r="AI98"/>
      <c r="AJ98"/>
      <c r="AK98"/>
      <c r="AL98"/>
      <c r="AM98"/>
      <c r="AN98"/>
      <c r="AO98"/>
      <c r="AP98"/>
      <c r="AQ98"/>
      <c r="AR98"/>
    </row>
    <row r="99" spans="1:44" s="42" customFormat="1" outlineLevel="1">
      <c r="A99" s="42">
        <v>1995</v>
      </c>
      <c r="B99" s="16">
        <v>71.518000000000001</v>
      </c>
      <c r="C99" s="154"/>
      <c r="D99" s="154"/>
      <c r="E99" s="154"/>
      <c r="F99" s="12"/>
      <c r="G99" s="154"/>
      <c r="H99" s="12"/>
      <c r="I99" s="154"/>
      <c r="J99" s="41"/>
      <c r="K99" s="160">
        <v>2007</v>
      </c>
      <c r="L99" s="161">
        <v>1674101.75</v>
      </c>
      <c r="M99" s="161">
        <v>1535823</v>
      </c>
      <c r="N99" s="24">
        <f t="shared" si="14"/>
        <v>91.740122725515334</v>
      </c>
      <c r="O99" s="154"/>
      <c r="P99" s="154"/>
      <c r="Q99" s="154"/>
      <c r="R99" s="154"/>
      <c r="S99" s="154"/>
      <c r="T99"/>
      <c r="U99"/>
      <c r="V99"/>
      <c r="W99"/>
      <c r="X99"/>
      <c r="Y99"/>
      <c r="Z99"/>
      <c r="AA99"/>
      <c r="AB99"/>
      <c r="AC99"/>
      <c r="AD99"/>
      <c r="AE99"/>
      <c r="AF99"/>
      <c r="AG99"/>
      <c r="AH99"/>
      <c r="AI99"/>
      <c r="AJ99"/>
      <c r="AK99"/>
      <c r="AL99"/>
      <c r="AM99"/>
      <c r="AN99"/>
      <c r="AO99"/>
      <c r="AP99"/>
      <c r="AQ99"/>
      <c r="AR99"/>
    </row>
    <row r="100" spans="1:44" s="42" customFormat="1" outlineLevel="1">
      <c r="A100" s="42">
        <v>1996</v>
      </c>
      <c r="B100" s="16">
        <v>72.784000000000006</v>
      </c>
      <c r="C100" s="154"/>
      <c r="D100" s="154"/>
      <c r="E100" s="154"/>
      <c r="F100" s="12"/>
      <c r="G100" s="154"/>
      <c r="H100" s="12"/>
      <c r="I100" s="154"/>
      <c r="J100" s="41"/>
      <c r="K100" s="160">
        <v>2008</v>
      </c>
      <c r="L100" s="161">
        <v>1720935.75</v>
      </c>
      <c r="M100" s="161">
        <v>1618329</v>
      </c>
      <c r="N100" s="24">
        <f t="shared" si="14"/>
        <v>94.037734993883419</v>
      </c>
      <c r="O100" s="154"/>
      <c r="P100" s="154"/>
      <c r="Q100" s="154"/>
      <c r="R100" s="154"/>
      <c r="S100" s="154"/>
      <c r="T100"/>
      <c r="U100"/>
      <c r="V100"/>
      <c r="W100"/>
      <c r="X100"/>
      <c r="Y100"/>
      <c r="Z100"/>
      <c r="AA100"/>
      <c r="AB100"/>
      <c r="AC100"/>
      <c r="AD100"/>
      <c r="AE100"/>
      <c r="AF100"/>
      <c r="AG100"/>
      <c r="AH100"/>
      <c r="AI100"/>
      <c r="AJ100"/>
      <c r="AK100"/>
      <c r="AL100"/>
      <c r="AM100"/>
      <c r="AN100"/>
      <c r="AO100"/>
      <c r="AP100"/>
      <c r="AQ100"/>
      <c r="AR100"/>
    </row>
    <row r="101" spans="1:44" s="42" customFormat="1" outlineLevel="1">
      <c r="A101" s="42">
        <v>1997</v>
      </c>
      <c r="B101" s="16">
        <v>73.879000000000005</v>
      </c>
      <c r="C101" s="154"/>
      <c r="D101" s="154"/>
      <c r="E101" s="154"/>
      <c r="F101" s="12"/>
      <c r="G101" s="154"/>
      <c r="H101" s="12"/>
      <c r="I101" s="154"/>
      <c r="J101" s="41"/>
      <c r="K101" s="160">
        <v>2009</v>
      </c>
      <c r="L101" s="161">
        <v>1683004</v>
      </c>
      <c r="M101" s="161">
        <v>1600238</v>
      </c>
      <c r="N101" s="24">
        <f t="shared" si="14"/>
        <v>95.082245793830552</v>
      </c>
      <c r="O101" s="154"/>
      <c r="P101" s="154"/>
      <c r="Q101" s="154"/>
      <c r="R101" s="154"/>
      <c r="S101" s="154"/>
      <c r="T101"/>
      <c r="U101"/>
      <c r="V101"/>
      <c r="W101"/>
      <c r="X101"/>
      <c r="Y101"/>
      <c r="Z101"/>
      <c r="AA101"/>
      <c r="AB101"/>
      <c r="AC101"/>
      <c r="AD101"/>
      <c r="AE101"/>
      <c r="AF101"/>
      <c r="AG101"/>
      <c r="AH101"/>
      <c r="AI101"/>
      <c r="AJ101"/>
      <c r="AK101"/>
      <c r="AL101"/>
      <c r="AM101"/>
      <c r="AN101"/>
      <c r="AO101"/>
      <c r="AP101"/>
      <c r="AQ101"/>
      <c r="AR101"/>
    </row>
    <row r="102" spans="1:44" s="42" customFormat="1" outlineLevel="1">
      <c r="A102" s="42">
        <v>1998</v>
      </c>
      <c r="B102" s="16">
        <v>74.405000000000001</v>
      </c>
      <c r="C102" s="154"/>
      <c r="D102" s="154"/>
      <c r="E102" s="154"/>
      <c r="F102" s="12"/>
      <c r="G102" s="154"/>
      <c r="H102" s="12"/>
      <c r="I102" s="154"/>
      <c r="J102" s="41"/>
      <c r="K102" s="160">
        <v>2010</v>
      </c>
      <c r="L102" s="161">
        <v>1767357.25</v>
      </c>
      <c r="M102" s="161">
        <v>1698380</v>
      </c>
      <c r="N102" s="24">
        <f t="shared" si="14"/>
        <v>96.097152966668176</v>
      </c>
      <c r="O102" s="154"/>
      <c r="P102" s="154"/>
      <c r="Q102" s="154"/>
      <c r="R102" s="154"/>
      <c r="S102" s="154"/>
      <c r="T102"/>
      <c r="U102"/>
      <c r="V102"/>
      <c r="W102"/>
      <c r="X102"/>
      <c r="Y102"/>
      <c r="Z102"/>
      <c r="AA102"/>
      <c r="AB102"/>
      <c r="AC102"/>
      <c r="AD102"/>
      <c r="AE102"/>
      <c r="AF102"/>
      <c r="AG102"/>
      <c r="AH102"/>
      <c r="AI102"/>
      <c r="AJ102"/>
      <c r="AK102"/>
      <c r="AL102"/>
      <c r="AM102"/>
      <c r="AN102"/>
      <c r="AO102"/>
      <c r="AP102"/>
      <c r="AQ102"/>
      <c r="AR102"/>
    </row>
    <row r="103" spans="1:44" s="42" customFormat="1" outlineLevel="1">
      <c r="A103" s="42">
        <v>1999</v>
      </c>
      <c r="B103" s="16">
        <v>75.575999999999993</v>
      </c>
      <c r="C103" s="154"/>
      <c r="D103" s="154"/>
      <c r="E103" s="154"/>
      <c r="F103" s="12"/>
      <c r="G103" s="154"/>
      <c r="H103" s="12"/>
      <c r="I103" s="154"/>
      <c r="J103" s="41"/>
      <c r="K103" s="160">
        <v>2011</v>
      </c>
      <c r="L103" s="161">
        <v>1813788.75</v>
      </c>
      <c r="M103" s="161">
        <v>1784328</v>
      </c>
      <c r="N103" s="24">
        <f t="shared" si="14"/>
        <v>98.375734219324045</v>
      </c>
      <c r="O103" s="154"/>
      <c r="P103" s="154"/>
      <c r="Q103" s="154"/>
      <c r="R103" s="154"/>
      <c r="S103" s="154"/>
      <c r="T103"/>
      <c r="U103"/>
      <c r="V103"/>
      <c r="W103"/>
      <c r="X103"/>
      <c r="Y103"/>
      <c r="Z103"/>
      <c r="AA103"/>
      <c r="AB103"/>
      <c r="AC103"/>
      <c r="AD103"/>
      <c r="AE103"/>
      <c r="AF103"/>
      <c r="AG103"/>
      <c r="AH103"/>
      <c r="AI103"/>
      <c r="AJ103"/>
      <c r="AK103"/>
      <c r="AL103"/>
      <c r="AM103"/>
      <c r="AN103"/>
      <c r="AO103"/>
      <c r="AP103"/>
      <c r="AQ103"/>
      <c r="AR103"/>
    </row>
    <row r="104" spans="1:44" s="42" customFormat="1" outlineLevel="1">
      <c r="A104" s="42">
        <v>2000</v>
      </c>
      <c r="B104" s="16">
        <v>77.537999999999997</v>
      </c>
      <c r="C104" s="154"/>
      <c r="D104" s="154"/>
      <c r="E104" s="154"/>
      <c r="F104" s="12"/>
      <c r="G104" s="154"/>
      <c r="H104" s="12"/>
      <c r="I104" s="154"/>
      <c r="J104" s="41"/>
      <c r="K104" s="160">
        <v>2012</v>
      </c>
      <c r="L104" s="161">
        <v>1856564</v>
      </c>
      <c r="M104" s="161">
        <v>1856564</v>
      </c>
      <c r="N104" s="24">
        <f t="shared" si="14"/>
        <v>100</v>
      </c>
      <c r="O104" s="154"/>
      <c r="P104" s="154"/>
      <c r="Q104" s="154"/>
      <c r="R104" s="154"/>
      <c r="S104" s="154"/>
      <c r="T104"/>
      <c r="U104"/>
      <c r="V104"/>
      <c r="W104"/>
      <c r="X104"/>
      <c r="Y104"/>
      <c r="Z104"/>
      <c r="AA104"/>
      <c r="AB104"/>
      <c r="AC104"/>
      <c r="AD104"/>
      <c r="AE104"/>
      <c r="AF104"/>
      <c r="AG104"/>
      <c r="AH104"/>
      <c r="AI104"/>
      <c r="AJ104"/>
      <c r="AK104"/>
      <c r="AL104"/>
      <c r="AM104"/>
      <c r="AN104"/>
      <c r="AO104"/>
      <c r="AP104"/>
      <c r="AQ104"/>
      <c r="AR104"/>
    </row>
    <row r="105" spans="1:44" s="42" customFormat="1" outlineLevel="1">
      <c r="A105" s="42">
        <v>2001</v>
      </c>
      <c r="B105" s="16">
        <v>79.004999999999995</v>
      </c>
      <c r="C105" s="154"/>
      <c r="D105" s="154"/>
      <c r="E105" s="154"/>
      <c r="F105" s="12"/>
      <c r="G105" s="154"/>
      <c r="H105" s="12"/>
      <c r="I105" s="154"/>
      <c r="J105" s="154"/>
      <c r="K105" s="160">
        <v>2013</v>
      </c>
      <c r="L105" s="161">
        <v>1886730.75</v>
      </c>
      <c r="M105" s="161">
        <v>1918995</v>
      </c>
      <c r="N105" s="24">
        <f t="shared" si="14"/>
        <v>101.71006117327552</v>
      </c>
      <c r="O105" s="154"/>
      <c r="P105" s="154"/>
      <c r="Q105" s="154"/>
      <c r="R105" s="154"/>
      <c r="S105" s="154"/>
      <c r="T105"/>
      <c r="U105"/>
      <c r="V105"/>
      <c r="W105"/>
      <c r="X105"/>
      <c r="Y105"/>
      <c r="Z105"/>
      <c r="AA105"/>
      <c r="AB105"/>
      <c r="AC105"/>
      <c r="AD105"/>
      <c r="AE105"/>
      <c r="AF105"/>
      <c r="AG105"/>
      <c r="AH105"/>
      <c r="AI105"/>
      <c r="AJ105"/>
      <c r="AK105"/>
      <c r="AL105"/>
      <c r="AM105"/>
      <c r="AN105"/>
      <c r="AO105"/>
      <c r="AP105"/>
      <c r="AQ105"/>
      <c r="AR105"/>
    </row>
    <row r="106" spans="1:44" s="42" customFormat="1" outlineLevel="1">
      <c r="A106" s="42">
        <v>2002</v>
      </c>
      <c r="B106" s="16">
        <v>80.085999999999999</v>
      </c>
      <c r="C106" s="154"/>
      <c r="D106" s="154"/>
      <c r="E106" s="154"/>
      <c r="F106" s="12"/>
      <c r="G106" s="154"/>
      <c r="H106" s="12"/>
      <c r="I106" s="154"/>
      <c r="J106" s="154"/>
      <c r="K106" s="160">
        <v>2014</v>
      </c>
      <c r="L106" s="161">
        <v>1926249.5</v>
      </c>
      <c r="M106" s="161">
        <v>2004526</v>
      </c>
      <c r="N106" s="24">
        <f t="shared" si="14"/>
        <v>104.06367399446437</v>
      </c>
      <c r="O106" s="154"/>
      <c r="P106" s="154"/>
      <c r="Q106" s="154"/>
      <c r="R106" s="154"/>
      <c r="S106" s="154"/>
      <c r="T106"/>
      <c r="U106"/>
      <c r="V106"/>
      <c r="W106"/>
      <c r="X106"/>
      <c r="Y106"/>
      <c r="Z106"/>
      <c r="AA106"/>
      <c r="AB106"/>
      <c r="AC106"/>
      <c r="AD106"/>
      <c r="AE106"/>
      <c r="AF106"/>
      <c r="AG106"/>
      <c r="AH106"/>
      <c r="AI106"/>
      <c r="AJ106"/>
      <c r="AK106"/>
      <c r="AL106"/>
      <c r="AM106"/>
      <c r="AN106"/>
      <c r="AO106"/>
      <c r="AP106"/>
      <c r="AQ106"/>
      <c r="AR106"/>
    </row>
    <row r="107" spans="1:44" s="42" customFormat="1" outlineLevel="1">
      <c r="A107" s="42">
        <v>2003</v>
      </c>
      <c r="B107" s="16">
        <v>81.745000000000005</v>
      </c>
      <c r="C107" s="154"/>
      <c r="D107" s="154"/>
      <c r="E107" s="154"/>
      <c r="F107" s="12"/>
      <c r="G107" s="154"/>
      <c r="H107" s="12"/>
      <c r="I107" s="154"/>
      <c r="J107" s="154"/>
      <c r="K107" s="160">
        <v>2015</v>
      </c>
      <c r="L107" s="161">
        <v>1931343</v>
      </c>
      <c r="M107" s="161">
        <v>2041081</v>
      </c>
      <c r="N107" s="24">
        <f t="shared" si="14"/>
        <v>105.68195292084317</v>
      </c>
      <c r="O107" s="154"/>
      <c r="P107" s="154"/>
      <c r="Q107" s="154"/>
      <c r="R107" s="154"/>
      <c r="S107" s="154"/>
      <c r="T107"/>
      <c r="U107"/>
      <c r="V107"/>
      <c r="W107"/>
      <c r="X107"/>
      <c r="Y107"/>
      <c r="Z107"/>
      <c r="AA107"/>
      <c r="AB107"/>
      <c r="AC107"/>
      <c r="AD107"/>
      <c r="AE107"/>
      <c r="AF107"/>
      <c r="AG107"/>
      <c r="AH107"/>
      <c r="AI107"/>
      <c r="AJ107"/>
      <c r="AK107"/>
      <c r="AL107"/>
      <c r="AM107"/>
      <c r="AN107"/>
      <c r="AO107"/>
      <c r="AP107"/>
      <c r="AQ107"/>
      <c r="AR107"/>
    </row>
    <row r="108" spans="1:44" s="42" customFormat="1" outlineLevel="1">
      <c r="A108" s="42">
        <v>2004</v>
      </c>
      <c r="B108" s="16">
        <v>84.093000000000004</v>
      </c>
      <c r="C108" s="154"/>
      <c r="D108" s="154"/>
      <c r="E108" s="154"/>
      <c r="F108" s="12"/>
      <c r="G108" s="154"/>
      <c r="H108" s="12"/>
      <c r="I108" s="154"/>
      <c r="J108" s="154"/>
      <c r="K108" s="160">
        <v>2016</v>
      </c>
      <c r="L108" s="161">
        <v>1943742.5</v>
      </c>
      <c r="M108" s="161">
        <v>2078704</v>
      </c>
      <c r="N108" s="24">
        <f t="shared" si="14"/>
        <v>106.94338370437441</v>
      </c>
      <c r="O108" s="154"/>
      <c r="P108" s="154"/>
      <c r="Q108" s="154"/>
      <c r="R108" s="154"/>
      <c r="S108" s="154"/>
      <c r="T108"/>
      <c r="U108"/>
      <c r="V108"/>
      <c r="W108"/>
      <c r="X108"/>
      <c r="Y108"/>
      <c r="Z108"/>
      <c r="AA108"/>
      <c r="AB108"/>
      <c r="AC108"/>
      <c r="AD108"/>
      <c r="AE108"/>
      <c r="AF108"/>
      <c r="AG108"/>
      <c r="AH108"/>
      <c r="AI108"/>
      <c r="AJ108"/>
      <c r="AK108"/>
      <c r="AL108"/>
      <c r="AM108"/>
      <c r="AN108"/>
      <c r="AO108"/>
      <c r="AP108"/>
      <c r="AQ108"/>
      <c r="AR108"/>
    </row>
    <row r="109" spans="1:44" s="42" customFormat="1" outlineLevel="1">
      <c r="A109" s="42">
        <v>2005</v>
      </c>
      <c r="B109" s="16">
        <v>87.013000000000005</v>
      </c>
      <c r="C109" s="154"/>
      <c r="D109" s="154"/>
      <c r="E109" s="154"/>
      <c r="F109" s="12"/>
      <c r="G109" s="154"/>
      <c r="H109" s="12"/>
      <c r="I109" s="154"/>
      <c r="J109" s="154"/>
      <c r="K109" s="160">
        <v>2017</v>
      </c>
      <c r="L109" s="161">
        <v>2003940.75</v>
      </c>
      <c r="M109" s="161">
        <v>2173692</v>
      </c>
      <c r="N109" s="24">
        <f t="shared" si="14"/>
        <v>108.47087170616196</v>
      </c>
      <c r="O109" s="154"/>
      <c r="P109" s="154"/>
      <c r="Q109" s="154"/>
      <c r="R109" s="154"/>
      <c r="S109" s="154"/>
      <c r="T109"/>
      <c r="U109"/>
      <c r="V109"/>
      <c r="W109"/>
      <c r="X109"/>
      <c r="Y109"/>
      <c r="Z109"/>
      <c r="AA109"/>
      <c r="AB109"/>
      <c r="AC109"/>
      <c r="AD109"/>
      <c r="AE109"/>
      <c r="AF109"/>
      <c r="AG109"/>
      <c r="AH109"/>
      <c r="AI109"/>
      <c r="AJ109"/>
      <c r="AK109"/>
      <c r="AL109"/>
      <c r="AM109"/>
      <c r="AN109"/>
      <c r="AO109"/>
      <c r="AP109"/>
      <c r="AQ109"/>
      <c r="AR109"/>
    </row>
    <row r="110" spans="1:44" s="42" customFormat="1" outlineLevel="1">
      <c r="A110" s="42">
        <v>2006</v>
      </c>
      <c r="B110" s="16">
        <v>89.762</v>
      </c>
      <c r="C110" s="154"/>
      <c r="D110" s="154"/>
      <c r="E110" s="154"/>
      <c r="F110" s="12"/>
      <c r="G110" s="154"/>
      <c r="H110" s="12"/>
      <c r="I110" s="154"/>
      <c r="J110" s="154"/>
      <c r="K110" s="160">
        <v>2018</v>
      </c>
      <c r="L110" s="161">
        <v>2044681.75</v>
      </c>
      <c r="M110" s="161">
        <v>2253358</v>
      </c>
      <c r="N110" s="24">
        <f t="shared" si="14"/>
        <v>110.20580586685433</v>
      </c>
      <c r="O110" s="154"/>
      <c r="P110" s="154"/>
      <c r="Q110" s="154"/>
      <c r="R110" s="154"/>
      <c r="S110" s="154"/>
      <c r="T110"/>
      <c r="U110"/>
      <c r="V110"/>
      <c r="W110"/>
      <c r="X110"/>
      <c r="Y110"/>
      <c r="Z110"/>
      <c r="AA110"/>
      <c r="AB110"/>
      <c r="AC110"/>
      <c r="AD110"/>
      <c r="AE110"/>
      <c r="AF110"/>
      <c r="AG110"/>
      <c r="AH110"/>
      <c r="AI110"/>
      <c r="AJ110"/>
      <c r="AK110"/>
      <c r="AL110"/>
      <c r="AM110"/>
      <c r="AN110"/>
      <c r="AO110"/>
      <c r="AP110"/>
      <c r="AQ110"/>
      <c r="AR110"/>
    </row>
    <row r="111" spans="1:44" s="42" customFormat="1" outlineLevel="1">
      <c r="A111" s="42">
        <v>2007</v>
      </c>
      <c r="B111" s="16">
        <v>92.192999999999998</v>
      </c>
      <c r="C111" s="154"/>
      <c r="D111" s="154"/>
      <c r="E111" s="154"/>
      <c r="F111" s="12"/>
      <c r="G111" s="154"/>
      <c r="H111" s="12"/>
      <c r="I111" s="154"/>
      <c r="J111" s="154"/>
      <c r="K111" s="42" t="s">
        <v>180</v>
      </c>
      <c r="L111" s="12"/>
      <c r="M111" s="12"/>
      <c r="N111" s="12"/>
      <c r="O111" s="12"/>
      <c r="P111" s="12"/>
      <c r="Q111" s="12"/>
      <c r="R111" s="12"/>
      <c r="S111" s="12"/>
      <c r="T111"/>
      <c r="U111"/>
      <c r="V111"/>
      <c r="W111"/>
      <c r="X111"/>
      <c r="Y111"/>
      <c r="Z111"/>
      <c r="AA111"/>
      <c r="AB111"/>
      <c r="AC111"/>
      <c r="AD111"/>
      <c r="AE111"/>
      <c r="AF111"/>
      <c r="AG111"/>
      <c r="AH111"/>
      <c r="AI111"/>
      <c r="AJ111"/>
      <c r="AK111"/>
      <c r="AL111"/>
      <c r="AM111"/>
      <c r="AN111"/>
      <c r="AO111"/>
      <c r="AP111"/>
      <c r="AQ111"/>
      <c r="AR111"/>
    </row>
    <row r="112" spans="1:44" s="42" customFormat="1" outlineLevel="1">
      <c r="A112" s="42">
        <v>2008</v>
      </c>
      <c r="B112" s="16">
        <v>94.84</v>
      </c>
      <c r="C112" s="154"/>
      <c r="D112" s="154"/>
      <c r="E112" s="154"/>
      <c r="F112" s="12"/>
      <c r="G112" s="154"/>
      <c r="H112" s="12"/>
      <c r="I112" s="154"/>
      <c r="J112" s="154"/>
      <c r="K112" s="6"/>
      <c r="L112" s="12"/>
      <c r="M112" s="12"/>
      <c r="N112" s="12"/>
      <c r="O112" s="12"/>
      <c r="P112" s="12"/>
      <c r="Q112" s="12"/>
      <c r="R112" s="12"/>
      <c r="S112" s="12"/>
      <c r="T112"/>
      <c r="U112"/>
      <c r="V112"/>
      <c r="W112"/>
      <c r="X112"/>
      <c r="Y112"/>
      <c r="Z112"/>
      <c r="AA112"/>
      <c r="AB112"/>
      <c r="AC112"/>
      <c r="AD112"/>
      <c r="AE112"/>
      <c r="AF112"/>
      <c r="AG112"/>
      <c r="AH112"/>
      <c r="AI112"/>
      <c r="AJ112"/>
      <c r="AK112"/>
      <c r="AL112"/>
      <c r="AM112"/>
      <c r="AN112"/>
      <c r="AO112"/>
      <c r="AP112"/>
      <c r="AQ112"/>
      <c r="AR112"/>
    </row>
    <row r="113" spans="1:44" s="42" customFormat="1" outlineLevel="1">
      <c r="A113" s="42">
        <v>2009</v>
      </c>
      <c r="B113" s="16">
        <v>94.531000000000006</v>
      </c>
      <c r="C113" s="154"/>
      <c r="D113" s="154"/>
      <c r="E113" s="154"/>
      <c r="F113" s="12"/>
      <c r="G113" s="154"/>
      <c r="H113" s="12"/>
      <c r="I113" s="154"/>
      <c r="J113" s="154"/>
      <c r="K113" s="6"/>
      <c r="L113" s="12"/>
      <c r="M113" s="12"/>
      <c r="N113" s="12"/>
      <c r="O113" s="12"/>
      <c r="P113" s="12"/>
      <c r="Q113" s="12"/>
      <c r="R113" s="12"/>
      <c r="S113" s="12"/>
      <c r="T113"/>
      <c r="U113"/>
      <c r="V113"/>
      <c r="W113"/>
      <c r="X113"/>
      <c r="Y113"/>
      <c r="Z113"/>
      <c r="AA113"/>
      <c r="AB113"/>
      <c r="AC113"/>
      <c r="AD113"/>
      <c r="AE113"/>
      <c r="AF113"/>
      <c r="AG113"/>
      <c r="AH113"/>
      <c r="AI113"/>
      <c r="AJ113"/>
      <c r="AK113"/>
      <c r="AL113"/>
      <c r="AM113"/>
      <c r="AN113"/>
      <c r="AO113"/>
      <c r="AP113"/>
      <c r="AQ113"/>
      <c r="AR113"/>
    </row>
    <row r="114" spans="1:44" s="42" customFormat="1" outlineLevel="1">
      <c r="A114" s="42">
        <v>2010</v>
      </c>
      <c r="B114" s="16">
        <v>95.900999999999996</v>
      </c>
      <c r="C114" s="154"/>
      <c r="D114" s="154"/>
      <c r="E114" s="154"/>
      <c r="F114" s="12"/>
      <c r="G114" s="154"/>
      <c r="H114" s="12"/>
      <c r="I114" s="154"/>
      <c r="J114" s="154"/>
      <c r="K114" s="6"/>
      <c r="L114" s="12"/>
      <c r="M114" s="12"/>
      <c r="N114" s="12"/>
      <c r="O114" s="12"/>
      <c r="P114" s="12"/>
      <c r="Q114" s="12"/>
      <c r="R114" s="12"/>
      <c r="S114" s="12"/>
      <c r="T114"/>
      <c r="U114"/>
      <c r="V114"/>
      <c r="W114"/>
      <c r="X114"/>
      <c r="Y114"/>
      <c r="Z114"/>
      <c r="AA114"/>
      <c r="AB114"/>
      <c r="AC114"/>
      <c r="AD114"/>
      <c r="AE114"/>
      <c r="AF114"/>
      <c r="AG114"/>
      <c r="AH114"/>
      <c r="AI114"/>
      <c r="AJ114"/>
      <c r="AK114"/>
      <c r="AL114"/>
      <c r="AM114"/>
      <c r="AN114"/>
      <c r="AO114"/>
      <c r="AP114"/>
      <c r="AQ114"/>
      <c r="AR114"/>
    </row>
    <row r="115" spans="1:44" s="42" customFormat="1" outlineLevel="1">
      <c r="A115" s="42">
        <v>2011</v>
      </c>
      <c r="B115" s="16">
        <v>98.234999999999999</v>
      </c>
      <c r="C115" s="154"/>
      <c r="D115" s="154"/>
      <c r="E115" s="154"/>
      <c r="F115" s="12"/>
      <c r="G115" s="154"/>
      <c r="H115" s="12"/>
      <c r="I115" s="154"/>
      <c r="J115" s="154"/>
      <c r="K115" s="6"/>
      <c r="L115" s="12"/>
      <c r="M115" s="12"/>
      <c r="N115" s="12"/>
      <c r="O115" s="12"/>
      <c r="P115" s="12"/>
      <c r="Q115" s="12"/>
      <c r="R115" s="12"/>
      <c r="S115" s="12"/>
      <c r="T115"/>
      <c r="U115"/>
      <c r="V115"/>
      <c r="W115"/>
      <c r="X115"/>
      <c r="Y115"/>
      <c r="Z115"/>
      <c r="AA115"/>
      <c r="AB115"/>
      <c r="AC115"/>
      <c r="AD115"/>
      <c r="AE115"/>
      <c r="AF115"/>
      <c r="AG115"/>
      <c r="AH115"/>
      <c r="AI115"/>
      <c r="AJ115"/>
      <c r="AK115"/>
      <c r="AL115"/>
      <c r="AM115"/>
      <c r="AN115"/>
      <c r="AO115"/>
      <c r="AP115"/>
      <c r="AQ115"/>
      <c r="AR115"/>
    </row>
    <row r="116" spans="1:44" s="42" customFormat="1" outlineLevel="1">
      <c r="A116" s="42">
        <v>2012</v>
      </c>
      <c r="B116" s="16">
        <v>100</v>
      </c>
      <c r="C116" s="154"/>
      <c r="D116" s="154"/>
      <c r="E116" s="154"/>
      <c r="F116" s="154"/>
      <c r="G116" s="154"/>
      <c r="H116" s="154"/>
      <c r="I116" s="154"/>
      <c r="J116" s="154"/>
      <c r="K116" s="6"/>
      <c r="L116" s="12"/>
      <c r="M116" s="12"/>
      <c r="N116" s="12"/>
      <c r="O116" s="12"/>
      <c r="P116" s="12"/>
      <c r="Q116" s="12"/>
      <c r="R116" s="12"/>
      <c r="S116" s="12"/>
      <c r="T116"/>
      <c r="U116"/>
      <c r="V116"/>
      <c r="W116"/>
      <c r="X116"/>
      <c r="Y116"/>
      <c r="Z116"/>
      <c r="AA116"/>
      <c r="AB116"/>
      <c r="AC116"/>
      <c r="AD116"/>
      <c r="AE116"/>
      <c r="AF116"/>
      <c r="AG116"/>
      <c r="AH116"/>
      <c r="AI116"/>
      <c r="AJ116"/>
      <c r="AK116"/>
      <c r="AL116"/>
      <c r="AM116"/>
      <c r="AN116"/>
      <c r="AO116"/>
      <c r="AP116"/>
      <c r="AQ116"/>
      <c r="AR116"/>
    </row>
    <row r="117" spans="1:44" s="42" customFormat="1" outlineLevel="1">
      <c r="A117" s="42">
        <v>2013</v>
      </c>
      <c r="B117" s="154">
        <v>101.488</v>
      </c>
      <c r="C117" s="154"/>
      <c r="D117" s="154"/>
      <c r="E117" s="154"/>
      <c r="F117" s="154"/>
      <c r="G117" s="154"/>
      <c r="H117" s="154"/>
      <c r="I117" s="154"/>
      <c r="J117" s="154"/>
      <c r="K117" s="6"/>
      <c r="L117" s="12"/>
      <c r="M117" s="12"/>
      <c r="N117" s="12"/>
      <c r="O117" s="12"/>
      <c r="P117" s="12"/>
      <c r="Q117" s="12"/>
      <c r="R117" s="12"/>
      <c r="S117" s="12"/>
      <c r="T117"/>
      <c r="U117"/>
      <c r="V117"/>
      <c r="W117"/>
      <c r="X117"/>
      <c r="Y117"/>
      <c r="Z117"/>
      <c r="AA117"/>
      <c r="AB117"/>
      <c r="AC117"/>
      <c r="AD117"/>
      <c r="AE117"/>
      <c r="AF117"/>
      <c r="AG117"/>
      <c r="AH117"/>
      <c r="AI117"/>
      <c r="AJ117"/>
      <c r="AK117"/>
      <c r="AL117"/>
      <c r="AM117"/>
      <c r="AN117"/>
      <c r="AO117"/>
      <c r="AP117"/>
      <c r="AQ117"/>
      <c r="AR117"/>
    </row>
    <row r="118" spans="1:44" s="42" customFormat="1" outlineLevel="1">
      <c r="A118" s="42">
        <v>2014</v>
      </c>
      <c r="B118" s="154">
        <v>103.218</v>
      </c>
      <c r="C118" s="154"/>
      <c r="D118" s="154"/>
      <c r="E118" s="154"/>
      <c r="F118" s="154"/>
      <c r="G118" s="154"/>
      <c r="H118" s="154"/>
      <c r="I118" s="154"/>
      <c r="J118" s="154"/>
      <c r="K118" s="6"/>
      <c r="L118" s="12"/>
      <c r="M118" s="12"/>
      <c r="N118" s="12"/>
      <c r="O118" s="12"/>
      <c r="P118" s="12"/>
      <c r="Q118" s="12"/>
      <c r="R118" s="12"/>
      <c r="S118" s="12"/>
      <c r="T118"/>
      <c r="U118"/>
      <c r="V118"/>
      <c r="W118"/>
      <c r="X118"/>
      <c r="Y118"/>
      <c r="Z118"/>
      <c r="AA118"/>
      <c r="AB118"/>
      <c r="AC118"/>
      <c r="AD118"/>
      <c r="AE118"/>
      <c r="AF118"/>
      <c r="AG118"/>
      <c r="AH118"/>
      <c r="AI118"/>
      <c r="AJ118"/>
      <c r="AK118"/>
      <c r="AL118"/>
      <c r="AM118"/>
      <c r="AN118"/>
      <c r="AO118"/>
      <c r="AP118"/>
      <c r="AQ118"/>
      <c r="AR118"/>
    </row>
    <row r="119" spans="1:44" s="42" customFormat="1" outlineLevel="1">
      <c r="A119" s="42">
        <v>2015</v>
      </c>
      <c r="B119" s="154">
        <v>103.595</v>
      </c>
      <c r="C119"/>
      <c r="D119"/>
      <c r="E119"/>
      <c r="F119"/>
      <c r="G119"/>
      <c r="H119"/>
      <c r="I119"/>
      <c r="J119"/>
      <c r="K119"/>
      <c r="L119"/>
      <c r="M119"/>
      <c r="N119" s="12"/>
      <c r="O119" s="12"/>
      <c r="P119" s="12"/>
      <c r="Q119" s="12"/>
      <c r="R119" s="12"/>
      <c r="S119" s="12"/>
      <c r="T119"/>
      <c r="U119"/>
      <c r="V119"/>
      <c r="W119"/>
      <c r="X119"/>
      <c r="Y119"/>
      <c r="Z119"/>
      <c r="AA119"/>
      <c r="AB119"/>
      <c r="AC119"/>
      <c r="AD119"/>
      <c r="AE119"/>
      <c r="AF119"/>
      <c r="AG119"/>
      <c r="AH119"/>
      <c r="AI119"/>
      <c r="AJ119"/>
      <c r="AK119"/>
      <c r="AL119"/>
      <c r="AM119"/>
      <c r="AN119"/>
      <c r="AO119"/>
      <c r="AP119"/>
      <c r="AQ119"/>
      <c r="AR119"/>
    </row>
    <row r="120" spans="1:44" s="42" customFormat="1" outlineLevel="1">
      <c r="A120" s="42">
        <v>2016</v>
      </c>
      <c r="B120" s="154">
        <v>104.414</v>
      </c>
      <c r="C120"/>
      <c r="D120"/>
      <c r="E120"/>
      <c r="F120"/>
      <c r="G120"/>
      <c r="H120"/>
      <c r="I120"/>
      <c r="J120"/>
      <c r="K120"/>
      <c r="L120"/>
      <c r="M120"/>
      <c r="N120" s="12"/>
      <c r="O120" s="12"/>
      <c r="P120" s="12"/>
      <c r="Q120" s="12"/>
      <c r="R120" s="12"/>
      <c r="S120" s="12"/>
      <c r="T120"/>
      <c r="U120"/>
      <c r="V120"/>
      <c r="W120"/>
      <c r="X120"/>
      <c r="Y120"/>
      <c r="Z120"/>
      <c r="AA120"/>
      <c r="AB120"/>
      <c r="AC120"/>
      <c r="AD120"/>
      <c r="AE120"/>
      <c r="AF120"/>
      <c r="AG120"/>
      <c r="AH120"/>
      <c r="AI120"/>
      <c r="AJ120"/>
      <c r="AK120"/>
      <c r="AL120"/>
      <c r="AM120"/>
      <c r="AN120"/>
      <c r="AO120"/>
      <c r="AP120"/>
      <c r="AQ120"/>
      <c r="AR120"/>
    </row>
    <row r="121" spans="1:44" s="42" customFormat="1" outlineLevel="1">
      <c r="A121" s="42">
        <v>2017</v>
      </c>
      <c r="B121" s="154">
        <v>106.36199999999999</v>
      </c>
      <c r="C121"/>
      <c r="D121"/>
      <c r="E121"/>
      <c r="F121"/>
      <c r="G121"/>
      <c r="H121"/>
      <c r="I121"/>
      <c r="J121"/>
      <c r="K121"/>
      <c r="L121"/>
      <c r="M121"/>
      <c r="N121" s="12"/>
      <c r="O121" s="12"/>
      <c r="P121" s="12"/>
      <c r="Q121" s="12"/>
      <c r="R121" s="12"/>
      <c r="S121" s="12"/>
      <c r="T121"/>
      <c r="U121"/>
      <c r="V121"/>
      <c r="W121"/>
      <c r="X121"/>
      <c r="Y121"/>
      <c r="Z121"/>
      <c r="AA121"/>
      <c r="AB121"/>
      <c r="AC121"/>
      <c r="AD121"/>
      <c r="AE121"/>
      <c r="AF121"/>
      <c r="AG121"/>
      <c r="AH121"/>
      <c r="AI121"/>
      <c r="AJ121"/>
      <c r="AK121"/>
      <c r="AL121"/>
      <c r="AM121"/>
      <c r="AN121"/>
      <c r="AO121"/>
      <c r="AP121"/>
      <c r="AQ121"/>
      <c r="AR121"/>
    </row>
    <row r="122" spans="1:44" s="42" customFormat="1" outlineLevel="1">
      <c r="A122" s="42">
        <v>2018</v>
      </c>
      <c r="B122" s="154">
        <v>108.68899999999999</v>
      </c>
      <c r="C122"/>
      <c r="D122"/>
      <c r="E122"/>
      <c r="F122"/>
      <c r="G122"/>
      <c r="H122"/>
      <c r="I122"/>
      <c r="J122"/>
      <c r="K122"/>
      <c r="L122"/>
      <c r="M122"/>
      <c r="N122" s="12"/>
      <c r="O122" s="12"/>
      <c r="P122" s="12"/>
      <c r="Q122" s="12"/>
      <c r="R122" s="12"/>
      <c r="S122" s="12"/>
      <c r="T122"/>
      <c r="U122"/>
      <c r="V122"/>
      <c r="W122"/>
      <c r="X122"/>
      <c r="Y122"/>
      <c r="Z122"/>
      <c r="AA122"/>
      <c r="AB122"/>
      <c r="AC122"/>
      <c r="AD122"/>
      <c r="AE122"/>
      <c r="AF122"/>
      <c r="AG122"/>
      <c r="AH122"/>
      <c r="AI122"/>
      <c r="AJ122"/>
      <c r="AK122"/>
      <c r="AL122"/>
      <c r="AM122"/>
      <c r="AN122"/>
      <c r="AO122"/>
      <c r="AP122"/>
      <c r="AQ122"/>
      <c r="AR122"/>
    </row>
    <row r="123" spans="1:44" s="42" customFormat="1" outlineLevel="1">
      <c r="A123"/>
      <c r="B123"/>
      <c r="C123"/>
      <c r="D123"/>
      <c r="E123"/>
      <c r="F123"/>
      <c r="G123"/>
      <c r="H123"/>
      <c r="I123"/>
      <c r="J123"/>
      <c r="K123"/>
      <c r="L123"/>
      <c r="M123"/>
      <c r="N123" s="12"/>
      <c r="O123" s="12"/>
      <c r="P123" s="12"/>
      <c r="Q123" s="12"/>
      <c r="R123" s="12"/>
      <c r="S123" s="12"/>
      <c r="T123"/>
      <c r="U123"/>
      <c r="V123"/>
      <c r="W123"/>
      <c r="X123"/>
      <c r="Y123"/>
      <c r="Z123"/>
      <c r="AA123"/>
      <c r="AB123"/>
      <c r="AC123"/>
      <c r="AD123"/>
      <c r="AE123"/>
      <c r="AF123"/>
      <c r="AG123"/>
      <c r="AH123"/>
      <c r="AI123"/>
      <c r="AJ123"/>
      <c r="AK123"/>
      <c r="AL123"/>
      <c r="AM123"/>
      <c r="AN123"/>
      <c r="AO123"/>
      <c r="AP123"/>
      <c r="AQ123"/>
      <c r="AR123"/>
    </row>
    <row r="124" spans="1:44" s="42" customFormat="1" outlineLevel="1">
      <c r="A124"/>
      <c r="B124"/>
      <c r="C124"/>
      <c r="D124"/>
      <c r="E124"/>
      <c r="F124"/>
      <c r="G124"/>
      <c r="H124"/>
      <c r="I124"/>
      <c r="J124"/>
      <c r="K124"/>
      <c r="L124"/>
      <c r="M124"/>
      <c r="N124" s="12"/>
      <c r="O124" s="12"/>
      <c r="P124" s="12"/>
      <c r="Q124" s="12"/>
      <c r="R124" s="12"/>
      <c r="S124" s="12"/>
      <c r="T124"/>
      <c r="U124"/>
      <c r="V124"/>
      <c r="W124"/>
      <c r="X124"/>
      <c r="Y124"/>
      <c r="Z124"/>
      <c r="AA124"/>
      <c r="AB124"/>
      <c r="AC124"/>
      <c r="AD124"/>
      <c r="AE124"/>
      <c r="AF124"/>
      <c r="AG124"/>
      <c r="AH124"/>
      <c r="AI124"/>
      <c r="AJ124"/>
      <c r="AK124"/>
      <c r="AL124"/>
      <c r="AM124"/>
      <c r="AN124"/>
      <c r="AO124"/>
      <c r="AP124"/>
      <c r="AQ124"/>
      <c r="AR124"/>
    </row>
    <row r="125" spans="1:44" s="42" customFormat="1" outlineLevel="1">
      <c r="A125"/>
      <c r="B125"/>
      <c r="C125"/>
      <c r="D125" s="154"/>
      <c r="E125" s="154"/>
      <c r="F125" s="154"/>
      <c r="G125" s="154"/>
      <c r="H125" s="154"/>
      <c r="I125" s="154"/>
      <c r="J125" s="154"/>
      <c r="K125" s="6"/>
      <c r="L125" s="12"/>
      <c r="M125" s="12"/>
      <c r="N125" s="12"/>
      <c r="O125" s="12"/>
      <c r="P125" s="12"/>
      <c r="Q125" s="12"/>
      <c r="R125" s="12"/>
      <c r="S125" s="12"/>
      <c r="T125"/>
      <c r="U125"/>
      <c r="V125"/>
      <c r="W125"/>
      <c r="X125"/>
      <c r="Y125"/>
      <c r="Z125"/>
      <c r="AA125"/>
      <c r="AB125"/>
      <c r="AC125"/>
      <c r="AD125"/>
      <c r="AE125"/>
      <c r="AF125"/>
      <c r="AG125"/>
      <c r="AH125"/>
      <c r="AI125"/>
      <c r="AJ125"/>
      <c r="AK125"/>
      <c r="AL125"/>
      <c r="AM125"/>
      <c r="AN125"/>
      <c r="AO125"/>
      <c r="AP125"/>
      <c r="AQ125"/>
      <c r="AR125"/>
    </row>
    <row r="126" spans="1:44" s="42" customFormat="1" outlineLevel="1">
      <c r="A126"/>
      <c r="B126"/>
      <c r="C126"/>
      <c r="D126" s="154"/>
      <c r="E126" s="154"/>
      <c r="F126" s="154"/>
      <c r="G126" s="154"/>
      <c r="H126" s="154"/>
      <c r="I126" s="154"/>
      <c r="J126" s="154"/>
      <c r="K126" s="6"/>
      <c r="L126" s="12"/>
      <c r="M126" s="12"/>
      <c r="N126" s="12"/>
      <c r="O126" s="12"/>
      <c r="P126" s="12"/>
      <c r="Q126" s="12"/>
      <c r="R126" s="12"/>
      <c r="S126" s="12"/>
      <c r="T126"/>
      <c r="U126"/>
      <c r="V126"/>
      <c r="W126"/>
      <c r="X126"/>
      <c r="Y126"/>
      <c r="Z126"/>
      <c r="AA126"/>
      <c r="AB126"/>
      <c r="AC126"/>
      <c r="AD126"/>
      <c r="AE126"/>
      <c r="AF126"/>
      <c r="AG126"/>
      <c r="AH126"/>
      <c r="AI126"/>
      <c r="AJ126"/>
      <c r="AK126"/>
      <c r="AL126"/>
      <c r="AM126"/>
      <c r="AN126"/>
      <c r="AO126"/>
      <c r="AP126"/>
      <c r="AQ126"/>
      <c r="AR126"/>
    </row>
    <row r="127" spans="1:44" s="42" customFormat="1" outlineLevel="1">
      <c r="A127"/>
      <c r="B127"/>
      <c r="C127"/>
      <c r="D127" s="154"/>
      <c r="E127" s="154"/>
      <c r="F127" s="154"/>
      <c r="G127" s="154"/>
      <c r="H127" s="154"/>
      <c r="I127" s="154"/>
      <c r="J127" s="154"/>
      <c r="K127" s="6"/>
      <c r="L127" s="12"/>
      <c r="M127" s="12"/>
      <c r="N127" s="12"/>
      <c r="O127" s="12"/>
      <c r="P127" s="12"/>
      <c r="Q127" s="12"/>
      <c r="R127" s="12"/>
      <c r="S127" s="12"/>
      <c r="T127"/>
      <c r="U127"/>
      <c r="V127"/>
      <c r="W127"/>
      <c r="X127"/>
      <c r="Y127"/>
      <c r="Z127"/>
      <c r="AA127"/>
      <c r="AB127"/>
      <c r="AC127"/>
      <c r="AD127"/>
      <c r="AE127"/>
      <c r="AF127"/>
      <c r="AG127"/>
      <c r="AH127"/>
      <c r="AI127"/>
      <c r="AJ127"/>
      <c r="AK127"/>
      <c r="AL127"/>
      <c r="AM127"/>
      <c r="AN127"/>
      <c r="AO127"/>
      <c r="AP127"/>
      <c r="AQ127"/>
      <c r="AR127"/>
    </row>
    <row r="128" spans="1:44" s="42" customFormat="1" outlineLevel="1">
      <c r="A128"/>
      <c r="B128"/>
      <c r="C128"/>
      <c r="D128" s="154"/>
      <c r="E128" s="154"/>
      <c r="F128" s="154"/>
      <c r="G128" s="154"/>
      <c r="H128" s="154"/>
      <c r="I128" s="154"/>
      <c r="J128" s="45"/>
      <c r="K128" s="6"/>
      <c r="L128" s="12"/>
      <c r="M128" s="12"/>
      <c r="N128" s="12"/>
      <c r="O128" s="12"/>
      <c r="P128" s="12"/>
      <c r="Q128" s="12"/>
      <c r="R128" s="12"/>
      <c r="S128" s="12"/>
      <c r="T128"/>
      <c r="U128"/>
      <c r="V128"/>
      <c r="W128"/>
      <c r="X128"/>
      <c r="Y128"/>
      <c r="Z128"/>
      <c r="AA128"/>
      <c r="AB128"/>
      <c r="AC128"/>
      <c r="AD128"/>
      <c r="AE128"/>
      <c r="AF128"/>
      <c r="AG128"/>
      <c r="AH128"/>
      <c r="AI128"/>
      <c r="AJ128"/>
      <c r="AK128"/>
      <c r="AL128"/>
      <c r="AM128"/>
      <c r="AN128"/>
      <c r="AO128"/>
      <c r="AP128"/>
      <c r="AQ128"/>
      <c r="AR128"/>
    </row>
    <row r="129" spans="1:44" s="42" customFormat="1" outlineLevel="1">
      <c r="A129"/>
      <c r="B129"/>
      <c r="C129"/>
      <c r="D129" s="12"/>
      <c r="E129" s="12"/>
      <c r="F129" s="12"/>
      <c r="G129" s="12"/>
      <c r="H129" s="12"/>
      <c r="I129" s="12"/>
      <c r="J129" s="154"/>
      <c r="K129" s="6"/>
      <c r="L129" s="12"/>
      <c r="M129" s="12"/>
      <c r="N129" s="12"/>
      <c r="O129" s="12"/>
      <c r="P129" s="12"/>
      <c r="Q129" s="12"/>
      <c r="R129" s="12"/>
      <c r="S129" s="12"/>
      <c r="T129"/>
      <c r="U129"/>
      <c r="V129"/>
      <c r="W129"/>
      <c r="X129"/>
      <c r="Y129"/>
      <c r="Z129"/>
      <c r="AA129"/>
      <c r="AB129"/>
      <c r="AC129"/>
      <c r="AD129"/>
      <c r="AE129"/>
      <c r="AF129"/>
      <c r="AG129"/>
      <c r="AH129"/>
      <c r="AI129"/>
      <c r="AJ129"/>
      <c r="AK129"/>
      <c r="AL129"/>
      <c r="AM129"/>
      <c r="AN129"/>
      <c r="AO129"/>
      <c r="AP129"/>
      <c r="AQ129"/>
      <c r="AR129"/>
    </row>
    <row r="130" spans="1:44" s="42" customFormat="1" outlineLevel="1">
      <c r="A130"/>
      <c r="B130"/>
      <c r="C130"/>
      <c r="D130" s="12"/>
      <c r="E130" s="12"/>
      <c r="F130" s="12"/>
      <c r="G130" s="12"/>
      <c r="H130" s="12"/>
      <c r="I130" s="12"/>
      <c r="J130" s="154"/>
      <c r="K130" s="6"/>
      <c r="L130" s="12"/>
      <c r="M130" s="12"/>
      <c r="N130" s="12"/>
      <c r="O130" s="12"/>
      <c r="P130" s="12"/>
      <c r="Q130" s="12"/>
      <c r="R130" s="12"/>
      <c r="S130" s="12"/>
      <c r="T130"/>
      <c r="U130"/>
      <c r="V130"/>
      <c r="W130"/>
      <c r="X130"/>
      <c r="Y130"/>
      <c r="Z130"/>
      <c r="AA130"/>
      <c r="AB130"/>
      <c r="AC130"/>
      <c r="AD130"/>
      <c r="AE130"/>
      <c r="AF130"/>
      <c r="AG130"/>
      <c r="AH130"/>
      <c r="AI130"/>
      <c r="AJ130"/>
      <c r="AK130"/>
      <c r="AL130"/>
      <c r="AM130"/>
      <c r="AN130"/>
      <c r="AO130"/>
      <c r="AP130"/>
      <c r="AQ130"/>
      <c r="AR130"/>
    </row>
    <row r="131" spans="1:44" s="42" customFormat="1" outlineLevel="1">
      <c r="A131"/>
      <c r="B131"/>
      <c r="C131"/>
      <c r="D131" s="12"/>
      <c r="E131" s="12"/>
      <c r="F131" s="12"/>
      <c r="G131" s="12"/>
      <c r="H131" s="12"/>
      <c r="I131" s="12"/>
      <c r="J131" s="154"/>
      <c r="K131" s="6"/>
      <c r="L131" s="12"/>
      <c r="M131" s="12"/>
      <c r="N131" s="12"/>
      <c r="O131" s="12"/>
      <c r="P131" s="12"/>
      <c r="Q131" s="12"/>
      <c r="R131" s="12"/>
      <c r="S131" s="12"/>
      <c r="T131"/>
      <c r="U131"/>
      <c r="V131"/>
      <c r="W131"/>
      <c r="X131"/>
      <c r="Y131"/>
      <c r="Z131"/>
      <c r="AA131"/>
      <c r="AB131"/>
      <c r="AC131"/>
      <c r="AD131"/>
      <c r="AE131"/>
      <c r="AF131"/>
      <c r="AG131"/>
      <c r="AH131"/>
      <c r="AI131"/>
      <c r="AJ131"/>
      <c r="AK131"/>
      <c r="AL131"/>
      <c r="AM131"/>
      <c r="AN131"/>
      <c r="AO131"/>
      <c r="AP131"/>
      <c r="AQ131"/>
      <c r="AR131"/>
    </row>
    <row r="132" spans="1:44" s="42" customFormat="1" outlineLevel="1">
      <c r="A132"/>
      <c r="B132"/>
      <c r="C132"/>
      <c r="D132" s="12"/>
      <c r="E132" s="12"/>
      <c r="F132" s="12"/>
      <c r="G132" s="12"/>
      <c r="H132" s="12"/>
      <c r="I132" s="12"/>
      <c r="J132" s="154"/>
      <c r="K132" s="6"/>
      <c r="L132" s="12"/>
      <c r="M132" s="12"/>
      <c r="N132" s="12"/>
      <c r="O132" s="12"/>
      <c r="P132" s="12"/>
      <c r="Q132" s="12"/>
      <c r="R132" s="12"/>
      <c r="S132" s="12"/>
      <c r="T132"/>
      <c r="U132"/>
      <c r="V132"/>
      <c r="W132"/>
      <c r="X132"/>
      <c r="Y132"/>
      <c r="Z132"/>
      <c r="AA132"/>
      <c r="AB132"/>
      <c r="AC132"/>
      <c r="AD132"/>
      <c r="AE132"/>
      <c r="AF132"/>
      <c r="AG132"/>
      <c r="AH132"/>
      <c r="AI132"/>
      <c r="AJ132"/>
      <c r="AK132"/>
      <c r="AL132"/>
      <c r="AM132"/>
      <c r="AN132"/>
      <c r="AO132"/>
      <c r="AP132"/>
      <c r="AQ132"/>
      <c r="AR132"/>
    </row>
    <row r="133" spans="1:44" s="42" customFormat="1" outlineLevel="1">
      <c r="A133"/>
      <c r="B133"/>
      <c r="C133"/>
      <c r="D133" s="12"/>
      <c r="E133" s="12"/>
      <c r="F133" s="12"/>
      <c r="G133" s="12"/>
      <c r="H133" s="12"/>
      <c r="I133" s="12"/>
      <c r="J133" s="154"/>
      <c r="K133" s="6"/>
      <c r="L133" s="12"/>
      <c r="M133" s="12"/>
      <c r="N133" s="12"/>
      <c r="O133" s="12"/>
      <c r="P133" s="12"/>
      <c r="Q133" s="12"/>
      <c r="R133" s="12"/>
      <c r="S133" s="12"/>
      <c r="T133"/>
      <c r="U133"/>
      <c r="V133"/>
      <c r="W133"/>
      <c r="X133"/>
      <c r="Y133"/>
      <c r="Z133"/>
      <c r="AA133"/>
      <c r="AB133"/>
      <c r="AC133"/>
      <c r="AD133"/>
      <c r="AE133"/>
      <c r="AF133"/>
      <c r="AG133"/>
      <c r="AH133"/>
      <c r="AI133"/>
      <c r="AJ133"/>
      <c r="AK133"/>
      <c r="AL133"/>
      <c r="AM133"/>
      <c r="AN133"/>
      <c r="AO133"/>
      <c r="AP133"/>
      <c r="AQ133"/>
      <c r="AR133"/>
    </row>
    <row r="134" spans="1:44" s="42" customFormat="1" outlineLevel="1">
      <c r="A134"/>
      <c r="B134"/>
      <c r="C134"/>
      <c r="D134" s="12"/>
      <c r="E134" s="12"/>
      <c r="F134" s="12"/>
      <c r="G134" s="12"/>
      <c r="H134" s="12"/>
      <c r="I134" s="12"/>
      <c r="J134" s="154"/>
      <c r="K134" s="6"/>
      <c r="L134" s="12"/>
      <c r="M134" s="12"/>
      <c r="N134" s="12"/>
      <c r="O134" s="12"/>
      <c r="P134" s="12"/>
      <c r="Q134" s="12"/>
      <c r="R134" s="12"/>
      <c r="S134" s="12"/>
      <c r="T134"/>
      <c r="U134"/>
      <c r="V134"/>
      <c r="W134"/>
      <c r="X134"/>
      <c r="Y134"/>
      <c r="Z134"/>
      <c r="AA134"/>
      <c r="AB134"/>
      <c r="AC134"/>
      <c r="AD134"/>
      <c r="AE134"/>
      <c r="AF134"/>
      <c r="AG134"/>
      <c r="AH134"/>
      <c r="AI134"/>
      <c r="AJ134"/>
      <c r="AK134"/>
      <c r="AL134"/>
      <c r="AM134"/>
      <c r="AN134"/>
      <c r="AO134"/>
      <c r="AP134"/>
      <c r="AQ134"/>
      <c r="AR134"/>
    </row>
    <row r="135" spans="1:44" s="42" customFormat="1" outlineLevel="1">
      <c r="A135"/>
      <c r="B135"/>
      <c r="C135"/>
      <c r="D135" s="12"/>
      <c r="E135" s="12"/>
      <c r="F135" s="12"/>
      <c r="G135" s="12"/>
      <c r="H135" s="12"/>
      <c r="I135" s="12"/>
      <c r="J135" s="154"/>
      <c r="K135" s="6"/>
      <c r="L135" s="12"/>
      <c r="M135" s="12"/>
      <c r="N135" s="12"/>
      <c r="O135" s="12"/>
      <c r="P135" s="12"/>
      <c r="Q135" s="12"/>
      <c r="R135" s="12"/>
      <c r="S135" s="12"/>
      <c r="T135"/>
      <c r="U135"/>
      <c r="V135"/>
      <c r="W135"/>
      <c r="X135"/>
      <c r="Y135"/>
      <c r="Z135"/>
      <c r="AA135"/>
      <c r="AB135"/>
      <c r="AC135"/>
      <c r="AD135"/>
      <c r="AE135"/>
      <c r="AF135"/>
      <c r="AG135"/>
      <c r="AH135"/>
      <c r="AI135"/>
      <c r="AJ135"/>
      <c r="AK135"/>
      <c r="AL135"/>
      <c r="AM135"/>
      <c r="AN135"/>
      <c r="AO135"/>
      <c r="AP135"/>
      <c r="AQ135"/>
      <c r="AR135"/>
    </row>
    <row r="136" spans="1:44" s="42" customFormat="1" outlineLevel="1">
      <c r="A136" s="116"/>
      <c r="B136" s="10"/>
      <c r="C136" s="12"/>
      <c r="D136" s="12"/>
      <c r="E136" s="12"/>
      <c r="F136" s="12"/>
      <c r="G136" s="12"/>
      <c r="H136" s="12"/>
      <c r="I136" s="12"/>
      <c r="J136" s="154"/>
      <c r="K136" s="6"/>
      <c r="L136" s="12"/>
      <c r="M136" s="12"/>
      <c r="N136" s="12"/>
      <c r="O136" s="12"/>
      <c r="P136" s="12"/>
      <c r="Q136" s="12"/>
      <c r="R136" s="12"/>
      <c r="S136" s="12"/>
      <c r="T136"/>
      <c r="U136"/>
      <c r="V136"/>
      <c r="W136"/>
      <c r="X136"/>
      <c r="Y136"/>
      <c r="Z136"/>
      <c r="AA136"/>
      <c r="AB136"/>
      <c r="AC136"/>
      <c r="AD136"/>
      <c r="AE136"/>
      <c r="AF136"/>
      <c r="AG136"/>
      <c r="AH136"/>
      <c r="AI136"/>
      <c r="AJ136"/>
      <c r="AK136"/>
      <c r="AL136"/>
      <c r="AM136"/>
      <c r="AN136"/>
      <c r="AO136"/>
      <c r="AP136"/>
      <c r="AQ136"/>
      <c r="AR136"/>
    </row>
    <row r="137" spans="1:44" s="42" customFormat="1" outlineLevel="1">
      <c r="A137" s="9"/>
      <c r="B137" s="10"/>
      <c r="C137" s="12"/>
      <c r="D137" s="12"/>
      <c r="E137" s="12"/>
      <c r="F137" s="12"/>
      <c r="G137" s="12"/>
      <c r="H137" s="12"/>
      <c r="I137" s="12"/>
      <c r="J137" s="154"/>
      <c r="K137" s="6"/>
      <c r="L137" s="12"/>
      <c r="M137" s="12"/>
      <c r="N137" s="12"/>
      <c r="O137" s="12"/>
      <c r="P137" s="12"/>
      <c r="Q137" s="12"/>
      <c r="R137" s="12"/>
      <c r="S137" s="12"/>
      <c r="T137"/>
      <c r="U137"/>
      <c r="V137"/>
      <c r="W137"/>
      <c r="X137"/>
      <c r="Y137"/>
      <c r="Z137"/>
      <c r="AA137"/>
      <c r="AB137"/>
      <c r="AC137"/>
      <c r="AD137"/>
      <c r="AE137"/>
      <c r="AF137"/>
      <c r="AG137"/>
      <c r="AH137"/>
      <c r="AI137"/>
      <c r="AJ137"/>
      <c r="AK137"/>
      <c r="AL137"/>
      <c r="AM137"/>
      <c r="AN137"/>
      <c r="AO137"/>
      <c r="AP137"/>
      <c r="AQ137"/>
      <c r="AR137"/>
    </row>
    <row r="138" spans="1:44" s="42" customFormat="1" outlineLevel="1">
      <c r="A138" s="9"/>
      <c r="B138" s="10"/>
      <c r="C138" s="12"/>
      <c r="D138" s="12"/>
      <c r="E138" s="12"/>
      <c r="F138" s="12"/>
      <c r="G138" s="12"/>
      <c r="H138" s="12"/>
      <c r="I138" s="12"/>
      <c r="J138" s="154"/>
      <c r="L138" s="154"/>
      <c r="M138" s="154"/>
      <c r="N138" s="154"/>
      <c r="O138" s="154"/>
      <c r="P138" s="154"/>
      <c r="Q138" s="154"/>
      <c r="R138" s="154"/>
      <c r="S138" s="154"/>
      <c r="T138"/>
      <c r="U138"/>
      <c r="V138"/>
      <c r="W138"/>
      <c r="X138"/>
      <c r="Y138"/>
      <c r="Z138"/>
      <c r="AA138"/>
      <c r="AB138"/>
      <c r="AC138"/>
      <c r="AD138"/>
      <c r="AE138"/>
      <c r="AF138"/>
      <c r="AG138"/>
      <c r="AH138"/>
      <c r="AI138"/>
      <c r="AJ138"/>
      <c r="AK138"/>
      <c r="AL138"/>
      <c r="AM138"/>
      <c r="AN138"/>
      <c r="AO138"/>
      <c r="AP138"/>
      <c r="AQ138"/>
      <c r="AR138"/>
    </row>
    <row r="139" spans="1:44" s="42" customFormat="1" outlineLevel="1">
      <c r="A139" s="9"/>
      <c r="B139" s="10"/>
      <c r="C139" s="12"/>
      <c r="D139" s="12"/>
      <c r="E139" s="12"/>
      <c r="F139" s="12"/>
      <c r="G139" s="12"/>
      <c r="H139" s="12"/>
      <c r="I139" s="12"/>
      <c r="J139" s="154"/>
      <c r="L139" s="154"/>
      <c r="M139" s="154"/>
      <c r="N139" s="154"/>
      <c r="O139" s="154"/>
      <c r="P139" s="154"/>
      <c r="Q139" s="154"/>
      <c r="R139" s="154"/>
      <c r="S139" s="154"/>
      <c r="T139"/>
      <c r="U139"/>
      <c r="V139"/>
      <c r="W139"/>
      <c r="X139"/>
      <c r="Y139"/>
      <c r="Z139"/>
      <c r="AA139"/>
      <c r="AB139"/>
      <c r="AC139"/>
      <c r="AD139"/>
      <c r="AE139"/>
      <c r="AF139"/>
      <c r="AG139"/>
      <c r="AH139"/>
      <c r="AI139"/>
      <c r="AJ139"/>
      <c r="AK139"/>
      <c r="AL139"/>
      <c r="AM139"/>
      <c r="AN139"/>
      <c r="AO139"/>
      <c r="AP139"/>
      <c r="AQ139"/>
      <c r="AR139"/>
    </row>
    <row r="140" spans="1:44" s="42" customFormat="1" outlineLevel="1">
      <c r="A140" s="9"/>
      <c r="B140" s="10"/>
      <c r="C140" s="12"/>
      <c r="D140" s="12"/>
      <c r="E140" s="12"/>
      <c r="F140" s="12"/>
      <c r="G140" s="12"/>
      <c r="H140" s="12"/>
      <c r="I140" s="12"/>
      <c r="J140" s="154"/>
      <c r="L140" s="154"/>
      <c r="M140" s="154"/>
      <c r="N140" s="154"/>
      <c r="O140" s="154"/>
      <c r="P140" s="154"/>
      <c r="Q140" s="154"/>
      <c r="R140" s="154"/>
      <c r="S140" s="154"/>
      <c r="T140"/>
      <c r="U140"/>
      <c r="V140"/>
      <c r="W140"/>
      <c r="X140"/>
      <c r="Y140"/>
      <c r="Z140"/>
      <c r="AA140"/>
      <c r="AB140"/>
      <c r="AC140"/>
      <c r="AD140"/>
      <c r="AE140"/>
      <c r="AF140"/>
      <c r="AG140"/>
      <c r="AH140"/>
      <c r="AI140"/>
      <c r="AJ140"/>
      <c r="AK140"/>
      <c r="AL140"/>
      <c r="AM140"/>
      <c r="AN140"/>
      <c r="AO140"/>
      <c r="AP140"/>
      <c r="AQ140"/>
      <c r="AR140"/>
    </row>
    <row r="141" spans="1:44" s="42" customFormat="1" outlineLevel="1">
      <c r="A141" s="9"/>
      <c r="B141" s="10"/>
      <c r="C141" s="12"/>
      <c r="D141" s="12"/>
      <c r="E141" s="12"/>
      <c r="F141" s="12"/>
      <c r="G141" s="12"/>
      <c r="H141" s="12"/>
      <c r="I141" s="12"/>
      <c r="J141" s="12"/>
      <c r="L141" s="154"/>
      <c r="M141" s="154"/>
      <c r="N141" s="154"/>
      <c r="O141" s="154"/>
      <c r="P141" s="154"/>
      <c r="Q141" s="154"/>
      <c r="R141" s="154"/>
      <c r="S141" s="154"/>
      <c r="T141"/>
      <c r="U141"/>
      <c r="V141"/>
      <c r="W141"/>
      <c r="X141"/>
      <c r="Y141"/>
      <c r="Z141"/>
      <c r="AA141"/>
      <c r="AB141"/>
      <c r="AC141"/>
      <c r="AD141"/>
      <c r="AE141"/>
      <c r="AF141"/>
      <c r="AG141"/>
      <c r="AH141"/>
      <c r="AI141"/>
      <c r="AJ141"/>
      <c r="AK141"/>
      <c r="AL141"/>
      <c r="AM141"/>
      <c r="AN141"/>
      <c r="AO141"/>
      <c r="AP141"/>
      <c r="AQ141"/>
      <c r="AR141"/>
    </row>
    <row r="142" spans="1:44" s="42" customFormat="1" outlineLevel="1">
      <c r="A142" s="9"/>
      <c r="B142" s="10"/>
      <c r="C142" s="12"/>
      <c r="D142" s="12"/>
      <c r="E142" s="12"/>
      <c r="F142" s="12"/>
      <c r="G142" s="12"/>
      <c r="H142" s="12"/>
      <c r="I142" s="12"/>
      <c r="J142" s="12"/>
      <c r="L142" s="154"/>
      <c r="M142" s="154"/>
      <c r="N142" s="154"/>
      <c r="O142" s="154"/>
      <c r="P142" s="154"/>
      <c r="Q142" s="154"/>
      <c r="R142" s="154"/>
      <c r="S142" s="154"/>
      <c r="T142"/>
      <c r="U142"/>
      <c r="V142"/>
      <c r="W142"/>
      <c r="X142"/>
      <c r="Y142"/>
      <c r="Z142"/>
      <c r="AA142"/>
      <c r="AB142"/>
      <c r="AC142"/>
      <c r="AD142"/>
      <c r="AE142"/>
      <c r="AF142"/>
      <c r="AG142"/>
      <c r="AH142"/>
      <c r="AI142"/>
      <c r="AJ142"/>
      <c r="AK142"/>
      <c r="AL142"/>
      <c r="AM142"/>
      <c r="AN142"/>
      <c r="AO142"/>
      <c r="AP142"/>
      <c r="AQ142"/>
      <c r="AR142"/>
    </row>
    <row r="143" spans="1:44" s="42" customFormat="1">
      <c r="A143" s="9"/>
      <c r="B143" s="10"/>
      <c r="C143" s="12"/>
      <c r="D143" s="12"/>
      <c r="E143" s="12"/>
      <c r="F143" s="12"/>
      <c r="G143" s="12"/>
      <c r="H143" s="12"/>
      <c r="I143" s="12"/>
      <c r="J143" s="12"/>
      <c r="L143" s="154"/>
      <c r="M143" s="154"/>
      <c r="N143" s="154"/>
      <c r="O143" s="154"/>
      <c r="P143" s="154"/>
      <c r="Q143" s="154"/>
      <c r="R143" s="154"/>
      <c r="S143" s="154"/>
      <c r="T143"/>
      <c r="U143"/>
      <c r="V143"/>
      <c r="W143"/>
      <c r="X143"/>
      <c r="Y143"/>
      <c r="Z143"/>
      <c r="AA143"/>
      <c r="AB143"/>
      <c r="AC143"/>
      <c r="AD143"/>
      <c r="AE143"/>
      <c r="AF143"/>
      <c r="AG143"/>
      <c r="AH143"/>
      <c r="AI143"/>
      <c r="AJ143"/>
      <c r="AK143"/>
      <c r="AL143"/>
      <c r="AM143"/>
      <c r="AN143"/>
      <c r="AO143"/>
      <c r="AP143"/>
      <c r="AQ143"/>
      <c r="AR143"/>
    </row>
    <row r="144" spans="1:44" s="42" customFormat="1">
      <c r="A144" s="9"/>
      <c r="B144" s="10"/>
      <c r="C144" s="12"/>
      <c r="D144" s="12"/>
      <c r="E144" s="12"/>
      <c r="F144" s="12"/>
      <c r="G144" s="12"/>
      <c r="H144" s="12"/>
      <c r="I144" s="12"/>
      <c r="J144" s="12"/>
      <c r="L144" s="154"/>
      <c r="M144" s="154"/>
      <c r="N144" s="154"/>
      <c r="O144" s="154"/>
      <c r="P144" s="154"/>
      <c r="Q144" s="154"/>
      <c r="R144" s="154"/>
      <c r="S144" s="154"/>
      <c r="T144"/>
      <c r="U144"/>
      <c r="V144"/>
      <c r="W144"/>
      <c r="X144"/>
      <c r="Y144"/>
      <c r="Z144"/>
      <c r="AA144"/>
      <c r="AB144"/>
      <c r="AC144"/>
      <c r="AD144"/>
      <c r="AE144"/>
      <c r="AF144"/>
      <c r="AG144"/>
      <c r="AH144"/>
      <c r="AI144"/>
      <c r="AJ144"/>
      <c r="AK144"/>
      <c r="AL144"/>
      <c r="AM144"/>
      <c r="AN144"/>
      <c r="AO144"/>
      <c r="AP144"/>
      <c r="AQ144"/>
      <c r="AR144"/>
    </row>
    <row r="145" spans="1:44" s="42" customFormat="1">
      <c r="A145" s="9"/>
      <c r="B145" s="10"/>
      <c r="C145" s="12"/>
      <c r="D145" s="12"/>
      <c r="E145" s="12"/>
      <c r="F145" s="12"/>
      <c r="G145" s="12"/>
      <c r="H145" s="12"/>
      <c r="I145" s="12"/>
      <c r="J145" s="12"/>
      <c r="L145" s="154"/>
      <c r="M145" s="154"/>
      <c r="N145" s="154"/>
      <c r="O145" s="154"/>
      <c r="P145" s="154"/>
      <c r="Q145" s="154"/>
      <c r="R145" s="154"/>
      <c r="S145" s="154"/>
      <c r="T145"/>
      <c r="U145"/>
      <c r="V145"/>
      <c r="W145"/>
      <c r="X145"/>
      <c r="Y145"/>
      <c r="Z145"/>
      <c r="AA145"/>
      <c r="AB145"/>
      <c r="AC145"/>
      <c r="AD145"/>
      <c r="AE145"/>
      <c r="AF145"/>
      <c r="AG145"/>
      <c r="AH145"/>
      <c r="AI145"/>
      <c r="AJ145"/>
      <c r="AK145"/>
      <c r="AL145"/>
      <c r="AM145"/>
      <c r="AN145"/>
      <c r="AO145"/>
      <c r="AP145"/>
      <c r="AQ145"/>
      <c r="AR145"/>
    </row>
    <row r="146" spans="1:44" s="42" customFormat="1">
      <c r="A146" s="9"/>
      <c r="B146" s="10"/>
      <c r="C146" s="12"/>
      <c r="D146" s="12"/>
      <c r="E146" s="12"/>
      <c r="F146" s="12"/>
      <c r="G146" s="12"/>
      <c r="H146" s="12"/>
      <c r="I146" s="12"/>
      <c r="J146" s="12"/>
      <c r="L146" s="154"/>
      <c r="M146" s="154"/>
      <c r="N146" s="154"/>
      <c r="O146" s="154"/>
      <c r="P146" s="154"/>
      <c r="Q146" s="154"/>
      <c r="R146" s="154"/>
      <c r="S146" s="154"/>
      <c r="T146"/>
      <c r="U146"/>
      <c r="V146"/>
      <c r="W146"/>
      <c r="X146"/>
      <c r="Y146"/>
      <c r="Z146"/>
      <c r="AA146"/>
      <c r="AB146"/>
      <c r="AC146"/>
      <c r="AD146"/>
      <c r="AE146"/>
      <c r="AF146"/>
      <c r="AG146"/>
      <c r="AH146"/>
      <c r="AI146"/>
      <c r="AJ146"/>
      <c r="AK146"/>
      <c r="AL146"/>
      <c r="AM146"/>
      <c r="AN146"/>
      <c r="AO146"/>
      <c r="AP146"/>
      <c r="AQ146"/>
      <c r="AR146"/>
    </row>
    <row r="147" spans="1:44" s="42" customFormat="1">
      <c r="A147" s="9"/>
      <c r="B147" s="10"/>
      <c r="C147" s="12"/>
      <c r="D147" s="12"/>
      <c r="E147" s="12"/>
      <c r="F147" s="12"/>
      <c r="G147" s="12"/>
      <c r="H147" s="12"/>
      <c r="I147" s="12"/>
      <c r="J147" s="12"/>
      <c r="L147" s="154"/>
      <c r="M147" s="154"/>
      <c r="N147" s="154"/>
      <c r="O147" s="154"/>
      <c r="P147" s="154"/>
      <c r="Q147" s="154"/>
      <c r="R147" s="154"/>
      <c r="S147" s="154"/>
      <c r="T147"/>
      <c r="U147"/>
      <c r="V147"/>
      <c r="W147"/>
      <c r="X147"/>
      <c r="Y147"/>
      <c r="Z147"/>
      <c r="AA147"/>
      <c r="AB147"/>
      <c r="AC147"/>
      <c r="AD147"/>
      <c r="AE147"/>
      <c r="AF147"/>
      <c r="AG147"/>
      <c r="AH147"/>
      <c r="AI147"/>
      <c r="AJ147"/>
      <c r="AK147"/>
      <c r="AL147"/>
      <c r="AM147"/>
      <c r="AN147"/>
      <c r="AO147"/>
      <c r="AP147"/>
      <c r="AQ147"/>
      <c r="AR147"/>
    </row>
    <row r="148" spans="1:44" s="42" customFormat="1">
      <c r="A148" s="9"/>
      <c r="B148" s="10"/>
      <c r="C148" s="12"/>
      <c r="D148" s="12"/>
      <c r="E148" s="12"/>
      <c r="F148" s="12"/>
      <c r="G148" s="12"/>
      <c r="H148" s="12"/>
      <c r="I148" s="12"/>
      <c r="J148" s="12"/>
      <c r="L148" s="154"/>
      <c r="M148" s="154"/>
      <c r="N148" s="154"/>
      <c r="O148" s="154"/>
      <c r="P148" s="154"/>
      <c r="Q148" s="154"/>
      <c r="R148" s="154"/>
      <c r="S148" s="154"/>
      <c r="T148"/>
      <c r="U148"/>
      <c r="V148"/>
      <c r="W148"/>
      <c r="X148"/>
      <c r="Y148"/>
      <c r="Z148"/>
      <c r="AA148"/>
      <c r="AB148"/>
      <c r="AC148"/>
      <c r="AD148"/>
      <c r="AE148"/>
      <c r="AF148"/>
      <c r="AG148"/>
      <c r="AH148"/>
      <c r="AI148"/>
      <c r="AJ148"/>
      <c r="AK148"/>
      <c r="AL148"/>
      <c r="AM148"/>
      <c r="AN148"/>
      <c r="AO148"/>
      <c r="AP148"/>
      <c r="AQ148"/>
      <c r="AR148"/>
    </row>
    <row r="149" spans="1:44" s="42" customFormat="1">
      <c r="A149" s="9"/>
      <c r="B149" s="10"/>
      <c r="C149" s="12"/>
      <c r="D149" s="12"/>
      <c r="E149" s="12"/>
      <c r="F149" s="12"/>
      <c r="G149" s="12"/>
      <c r="H149" s="12"/>
      <c r="I149" s="12"/>
      <c r="J149" s="12"/>
      <c r="L149" s="154"/>
      <c r="M149" s="154"/>
      <c r="N149" s="154"/>
      <c r="O149" s="154"/>
      <c r="P149" s="154"/>
      <c r="Q149" s="154"/>
      <c r="R149" s="154"/>
      <c r="S149" s="154"/>
      <c r="T149"/>
      <c r="U149"/>
      <c r="V149"/>
      <c r="W149"/>
      <c r="X149"/>
      <c r="Y149"/>
      <c r="Z149"/>
      <c r="AA149"/>
      <c r="AB149"/>
      <c r="AC149"/>
      <c r="AD149"/>
      <c r="AE149"/>
      <c r="AF149"/>
      <c r="AG149"/>
      <c r="AH149"/>
      <c r="AI149"/>
      <c r="AJ149"/>
      <c r="AK149"/>
      <c r="AL149"/>
      <c r="AM149"/>
      <c r="AN149"/>
      <c r="AO149"/>
      <c r="AP149"/>
      <c r="AQ149"/>
      <c r="AR149"/>
    </row>
    <row r="150" spans="1:44" s="42" customFormat="1">
      <c r="A150" s="9"/>
      <c r="B150" s="10"/>
      <c r="C150" s="12"/>
      <c r="D150" s="12"/>
      <c r="E150" s="12"/>
      <c r="F150" s="12"/>
      <c r="G150" s="12"/>
      <c r="H150" s="12"/>
      <c r="I150" s="12"/>
      <c r="J150" s="12"/>
      <c r="L150" s="154"/>
      <c r="M150" s="154"/>
      <c r="N150" s="154"/>
      <c r="O150" s="154"/>
      <c r="P150" s="154"/>
      <c r="Q150" s="154"/>
      <c r="R150" s="154"/>
      <c r="S150" s="154"/>
      <c r="T150"/>
      <c r="U150"/>
      <c r="V150"/>
      <c r="W150"/>
      <c r="X150"/>
      <c r="Y150"/>
      <c r="Z150"/>
      <c r="AA150"/>
      <c r="AB150"/>
      <c r="AC150"/>
      <c r="AD150"/>
      <c r="AE150"/>
      <c r="AF150"/>
      <c r="AG150"/>
      <c r="AH150"/>
      <c r="AI150"/>
      <c r="AJ150"/>
      <c r="AK150"/>
      <c r="AL150"/>
      <c r="AM150"/>
      <c r="AN150"/>
      <c r="AO150"/>
      <c r="AP150"/>
      <c r="AQ150"/>
      <c r="AR150"/>
    </row>
    <row r="151" spans="1:44" s="42" customFormat="1">
      <c r="A151" s="9"/>
      <c r="B151" s="10"/>
      <c r="C151" s="12"/>
      <c r="D151" s="12"/>
      <c r="E151" s="12"/>
      <c r="F151" s="12"/>
      <c r="G151" s="12"/>
      <c r="H151" s="12"/>
      <c r="I151" s="12"/>
      <c r="J151" s="12"/>
      <c r="L151" s="154"/>
      <c r="M151" s="154"/>
      <c r="N151" s="154"/>
      <c r="O151" s="154"/>
      <c r="P151" s="154"/>
      <c r="Q151" s="154"/>
      <c r="R151" s="154"/>
      <c r="S151" s="154"/>
      <c r="T151"/>
      <c r="U151"/>
      <c r="V151"/>
      <c r="W151"/>
      <c r="X151"/>
      <c r="Y151"/>
      <c r="Z151"/>
      <c r="AA151"/>
      <c r="AB151"/>
      <c r="AC151"/>
      <c r="AD151"/>
      <c r="AE151"/>
      <c r="AF151"/>
      <c r="AG151"/>
      <c r="AH151"/>
      <c r="AI151"/>
      <c r="AJ151"/>
      <c r="AK151"/>
      <c r="AL151"/>
      <c r="AM151"/>
      <c r="AN151"/>
      <c r="AO151"/>
      <c r="AP151"/>
      <c r="AQ151"/>
      <c r="AR151"/>
    </row>
    <row r="152" spans="1:44" s="42" customFormat="1">
      <c r="A152" s="9"/>
      <c r="B152" s="10"/>
      <c r="C152" s="12"/>
      <c r="D152" s="12"/>
      <c r="E152" s="12"/>
      <c r="F152" s="12"/>
      <c r="G152" s="12"/>
      <c r="H152" s="12"/>
      <c r="I152" s="12"/>
      <c r="J152" s="12"/>
      <c r="L152" s="154"/>
      <c r="M152" s="154"/>
      <c r="N152" s="154"/>
      <c r="O152" s="154"/>
      <c r="P152" s="154"/>
      <c r="Q152" s="154"/>
      <c r="R152" s="154"/>
      <c r="S152" s="154"/>
      <c r="T152"/>
      <c r="U152"/>
      <c r="V152"/>
      <c r="W152"/>
      <c r="X152"/>
      <c r="Y152"/>
      <c r="Z152"/>
      <c r="AA152"/>
      <c r="AB152"/>
      <c r="AC152"/>
      <c r="AD152"/>
      <c r="AE152"/>
      <c r="AF152"/>
      <c r="AG152"/>
      <c r="AH152"/>
      <c r="AI152"/>
      <c r="AJ152"/>
      <c r="AK152"/>
      <c r="AL152"/>
      <c r="AM152"/>
      <c r="AN152"/>
      <c r="AO152"/>
      <c r="AP152"/>
      <c r="AQ152"/>
      <c r="AR152"/>
    </row>
    <row r="153" spans="1:44" s="42" customFormat="1">
      <c r="A153" s="9"/>
      <c r="B153" s="10"/>
      <c r="C153" s="12"/>
      <c r="D153" s="12"/>
      <c r="E153" s="12"/>
      <c r="F153" s="12"/>
      <c r="G153" s="12"/>
      <c r="H153" s="12"/>
      <c r="I153" s="12"/>
      <c r="J153" s="12"/>
      <c r="L153" s="154"/>
      <c r="M153" s="154"/>
      <c r="N153" s="154"/>
      <c r="O153" s="154"/>
      <c r="P153" s="154"/>
      <c r="Q153" s="154"/>
      <c r="R153" s="154"/>
      <c r="S153" s="154"/>
      <c r="T153"/>
      <c r="U153"/>
      <c r="V153"/>
      <c r="W153"/>
      <c r="X153"/>
      <c r="Y153"/>
      <c r="Z153"/>
      <c r="AA153"/>
      <c r="AB153"/>
      <c r="AC153"/>
      <c r="AD153"/>
      <c r="AE153"/>
      <c r="AF153"/>
      <c r="AG153"/>
      <c r="AH153"/>
      <c r="AI153"/>
      <c r="AJ153"/>
      <c r="AK153"/>
      <c r="AL153"/>
      <c r="AM153"/>
      <c r="AN153"/>
      <c r="AO153"/>
      <c r="AP153"/>
      <c r="AQ153"/>
      <c r="AR153"/>
    </row>
    <row r="154" spans="1:44" s="42" customFormat="1">
      <c r="A154" s="9"/>
      <c r="B154" s="10"/>
      <c r="C154" s="12"/>
      <c r="D154" s="12"/>
      <c r="E154" s="12"/>
      <c r="F154" s="12"/>
      <c r="G154" s="12"/>
      <c r="H154" s="12"/>
      <c r="I154" s="12"/>
      <c r="J154" s="12"/>
      <c r="L154" s="154"/>
      <c r="M154" s="154"/>
      <c r="N154" s="154"/>
      <c r="O154" s="154"/>
      <c r="P154" s="154"/>
      <c r="Q154" s="154"/>
      <c r="R154" s="154"/>
      <c r="S154" s="154"/>
      <c r="T154"/>
      <c r="U154"/>
      <c r="V154"/>
      <c r="W154"/>
      <c r="X154"/>
      <c r="Y154"/>
      <c r="Z154"/>
      <c r="AA154"/>
      <c r="AB154"/>
      <c r="AC154"/>
      <c r="AD154"/>
      <c r="AE154"/>
      <c r="AF154"/>
      <c r="AG154"/>
      <c r="AH154"/>
      <c r="AI154"/>
      <c r="AJ154"/>
      <c r="AK154"/>
      <c r="AL154"/>
      <c r="AM154"/>
      <c r="AN154"/>
      <c r="AO154"/>
      <c r="AP154"/>
      <c r="AQ154"/>
      <c r="AR154"/>
    </row>
    <row r="155" spans="1:44" s="42" customFormat="1">
      <c r="A155" s="9"/>
      <c r="B155" s="10"/>
      <c r="C155" s="12"/>
      <c r="D155" s="12"/>
      <c r="E155" s="12"/>
      <c r="F155" s="12"/>
      <c r="G155" s="12"/>
      <c r="H155" s="12"/>
      <c r="I155" s="12"/>
      <c r="J155" s="12"/>
      <c r="L155" s="154"/>
      <c r="M155" s="154"/>
      <c r="N155" s="154"/>
      <c r="O155" s="154"/>
      <c r="P155" s="154"/>
      <c r="Q155" s="154"/>
      <c r="R155" s="154"/>
      <c r="S155" s="154"/>
      <c r="T155"/>
      <c r="U155"/>
      <c r="V155"/>
      <c r="W155"/>
      <c r="X155"/>
      <c r="Y155"/>
      <c r="Z155"/>
      <c r="AA155"/>
      <c r="AB155"/>
      <c r="AC155"/>
      <c r="AD155"/>
      <c r="AE155"/>
      <c r="AF155"/>
      <c r="AG155"/>
      <c r="AH155"/>
      <c r="AI155"/>
      <c r="AJ155"/>
      <c r="AK155"/>
      <c r="AL155"/>
      <c r="AM155"/>
      <c r="AN155"/>
      <c r="AO155"/>
      <c r="AP155"/>
      <c r="AQ155"/>
      <c r="AR155"/>
    </row>
    <row r="156" spans="1:44" s="42" customFormat="1">
      <c r="A156" s="9"/>
      <c r="B156" s="10"/>
      <c r="C156" s="154"/>
      <c r="D156" s="154"/>
      <c r="E156" s="154"/>
      <c r="F156" s="154"/>
      <c r="G156" s="154"/>
      <c r="H156" s="154"/>
      <c r="I156" s="154"/>
      <c r="J156" s="12"/>
      <c r="L156" s="154"/>
      <c r="M156" s="154"/>
      <c r="N156" s="154"/>
      <c r="O156" s="154"/>
      <c r="P156" s="154"/>
      <c r="Q156" s="154"/>
      <c r="R156" s="154"/>
      <c r="S156" s="154"/>
      <c r="T156"/>
      <c r="U156"/>
      <c r="V156"/>
      <c r="W156"/>
      <c r="X156"/>
      <c r="Y156"/>
      <c r="Z156"/>
      <c r="AA156"/>
      <c r="AB156"/>
      <c r="AC156"/>
      <c r="AD156"/>
      <c r="AE156"/>
      <c r="AF156"/>
      <c r="AG156"/>
      <c r="AH156"/>
      <c r="AI156"/>
      <c r="AJ156"/>
      <c r="AK156"/>
      <c r="AL156"/>
      <c r="AM156"/>
      <c r="AN156"/>
      <c r="AO156"/>
      <c r="AP156"/>
      <c r="AQ156"/>
      <c r="AR156"/>
    </row>
    <row r="157" spans="1:44" s="42" customFormat="1">
      <c r="A157" s="9"/>
      <c r="B157" s="10"/>
      <c r="C157" s="154"/>
      <c r="D157" s="154"/>
      <c r="E157" s="154"/>
      <c r="F157" s="154"/>
      <c r="G157" s="154"/>
      <c r="H157" s="154"/>
      <c r="I157" s="154"/>
      <c r="J157" s="12"/>
      <c r="L157" s="154"/>
      <c r="M157" s="154"/>
      <c r="N157" s="154"/>
      <c r="O157" s="154"/>
      <c r="P157" s="154"/>
      <c r="Q157" s="154"/>
      <c r="R157" s="154"/>
      <c r="S157" s="154"/>
      <c r="T157"/>
      <c r="U157"/>
      <c r="V157"/>
      <c r="W157"/>
      <c r="X157"/>
      <c r="Y157"/>
      <c r="Z157"/>
      <c r="AA157"/>
      <c r="AB157"/>
      <c r="AC157"/>
      <c r="AD157"/>
      <c r="AE157"/>
      <c r="AF157"/>
      <c r="AG157"/>
      <c r="AH157"/>
      <c r="AI157"/>
      <c r="AJ157"/>
      <c r="AK157"/>
      <c r="AL157"/>
      <c r="AM157"/>
      <c r="AN157"/>
      <c r="AO157"/>
      <c r="AP157"/>
      <c r="AQ157"/>
      <c r="AR157"/>
    </row>
    <row r="158" spans="1:44" s="42" customFormat="1">
      <c r="A158" s="9"/>
      <c r="B158" s="10"/>
      <c r="C158" s="154"/>
      <c r="D158" s="154"/>
      <c r="E158" s="154"/>
      <c r="F158" s="154"/>
      <c r="G158" s="154"/>
      <c r="H158" s="154"/>
      <c r="I158" s="154"/>
      <c r="J158" s="12"/>
      <c r="L158" s="154"/>
      <c r="M158" s="154"/>
      <c r="N158" s="154"/>
      <c r="O158" s="154"/>
      <c r="P158" s="154"/>
      <c r="Q158" s="154"/>
      <c r="R158" s="154"/>
      <c r="S158" s="154"/>
      <c r="T158"/>
      <c r="U158"/>
      <c r="V158"/>
      <c r="W158"/>
      <c r="X158"/>
      <c r="Y158"/>
      <c r="Z158"/>
      <c r="AA158"/>
      <c r="AB158"/>
      <c r="AC158"/>
      <c r="AD158"/>
      <c r="AE158"/>
      <c r="AF158"/>
      <c r="AG158"/>
      <c r="AH158"/>
      <c r="AI158"/>
      <c r="AJ158"/>
      <c r="AK158"/>
      <c r="AL158"/>
      <c r="AM158"/>
      <c r="AN158"/>
      <c r="AO158"/>
      <c r="AP158"/>
      <c r="AQ158"/>
      <c r="AR158"/>
    </row>
    <row r="159" spans="1:44" s="42" customFormat="1">
      <c r="A159" s="9"/>
      <c r="B159" s="10"/>
      <c r="C159" s="154"/>
      <c r="D159" s="154"/>
      <c r="E159" s="154"/>
      <c r="F159" s="154"/>
      <c r="G159" s="154"/>
      <c r="H159" s="154"/>
      <c r="I159" s="154"/>
      <c r="J159" s="12"/>
      <c r="L159" s="154"/>
      <c r="M159" s="154"/>
      <c r="N159" s="154"/>
      <c r="O159" s="154"/>
      <c r="P159" s="154"/>
      <c r="Q159" s="154"/>
      <c r="R159" s="154"/>
      <c r="S159" s="154"/>
      <c r="T159"/>
      <c r="U159"/>
      <c r="V159"/>
      <c r="W159"/>
      <c r="X159"/>
      <c r="Y159"/>
      <c r="Z159"/>
      <c r="AA159"/>
      <c r="AB159"/>
      <c r="AC159"/>
      <c r="AD159"/>
      <c r="AE159"/>
      <c r="AF159"/>
      <c r="AG159"/>
      <c r="AH159"/>
      <c r="AI159"/>
      <c r="AJ159"/>
      <c r="AK159"/>
      <c r="AL159"/>
      <c r="AM159"/>
      <c r="AN159"/>
      <c r="AO159"/>
      <c r="AP159"/>
      <c r="AQ159"/>
      <c r="AR159"/>
    </row>
    <row r="160" spans="1:44" s="42" customFormat="1">
      <c r="A160" s="9"/>
      <c r="B160" s="10"/>
      <c r="C160" s="154"/>
      <c r="D160" s="154"/>
      <c r="E160" s="154"/>
      <c r="F160" s="154"/>
      <c r="G160" s="154"/>
      <c r="H160" s="154"/>
      <c r="I160" s="154"/>
      <c r="J160" s="12"/>
      <c r="L160" s="154"/>
      <c r="M160" s="154"/>
      <c r="N160" s="154"/>
      <c r="O160" s="154"/>
      <c r="P160" s="154"/>
      <c r="Q160" s="154"/>
      <c r="R160" s="154"/>
      <c r="S160" s="154"/>
      <c r="T160"/>
      <c r="U160"/>
      <c r="V160"/>
      <c r="W160"/>
      <c r="X160"/>
      <c r="Y160"/>
      <c r="Z160"/>
      <c r="AA160"/>
      <c r="AB160"/>
      <c r="AC160"/>
      <c r="AD160"/>
      <c r="AE160"/>
      <c r="AF160"/>
      <c r="AG160"/>
      <c r="AH160"/>
      <c r="AI160"/>
      <c r="AJ160"/>
      <c r="AK160"/>
      <c r="AL160"/>
      <c r="AM160"/>
      <c r="AN160"/>
      <c r="AO160"/>
      <c r="AP160"/>
      <c r="AQ160"/>
      <c r="AR160"/>
    </row>
    <row r="161" spans="1:44" s="42" customFormat="1">
      <c r="A161" s="9"/>
      <c r="B161" s="10"/>
      <c r="C161" s="154"/>
      <c r="D161" s="154"/>
      <c r="E161" s="154"/>
      <c r="F161" s="154"/>
      <c r="G161" s="154"/>
      <c r="H161" s="154"/>
      <c r="I161" s="154"/>
      <c r="J161" s="12"/>
      <c r="L161" s="154"/>
      <c r="M161" s="154"/>
      <c r="N161" s="154"/>
      <c r="O161" s="154"/>
      <c r="P161" s="154"/>
      <c r="Q161" s="154"/>
      <c r="R161" s="154"/>
      <c r="S161" s="154"/>
      <c r="T161"/>
      <c r="U161"/>
      <c r="V161"/>
      <c r="W161"/>
      <c r="X161"/>
      <c r="Y161"/>
      <c r="Z161"/>
      <c r="AA161"/>
      <c r="AB161"/>
      <c r="AC161"/>
      <c r="AD161"/>
      <c r="AE161"/>
      <c r="AF161"/>
      <c r="AG161"/>
      <c r="AH161"/>
      <c r="AI161"/>
      <c r="AJ161"/>
      <c r="AK161"/>
      <c r="AL161"/>
      <c r="AM161"/>
      <c r="AN161"/>
      <c r="AO161"/>
      <c r="AP161"/>
      <c r="AQ161"/>
      <c r="AR161"/>
    </row>
    <row r="162" spans="1:44" s="42" customFormat="1">
      <c r="A162" s="9"/>
      <c r="B162" s="10"/>
      <c r="C162" s="154"/>
      <c r="D162" s="154"/>
      <c r="E162" s="154"/>
      <c r="F162" s="154"/>
      <c r="G162" s="154"/>
      <c r="H162" s="154"/>
      <c r="I162" s="154"/>
      <c r="J162" s="12"/>
      <c r="L162" s="154"/>
      <c r="M162" s="154"/>
      <c r="N162" s="154"/>
      <c r="O162" s="154"/>
      <c r="P162" s="154"/>
      <c r="Q162" s="154"/>
      <c r="R162" s="154"/>
      <c r="S162" s="154"/>
      <c r="T162"/>
      <c r="U162"/>
      <c r="V162"/>
      <c r="W162"/>
      <c r="X162"/>
      <c r="Y162"/>
      <c r="Z162"/>
      <c r="AA162"/>
      <c r="AB162"/>
      <c r="AC162"/>
      <c r="AD162"/>
      <c r="AE162"/>
      <c r="AF162"/>
      <c r="AG162"/>
      <c r="AH162"/>
      <c r="AI162"/>
      <c r="AJ162"/>
      <c r="AK162"/>
      <c r="AL162"/>
      <c r="AM162"/>
      <c r="AN162"/>
      <c r="AO162"/>
      <c r="AP162"/>
      <c r="AQ162"/>
      <c r="AR162"/>
    </row>
    <row r="163" spans="1:44" s="42" customFormat="1">
      <c r="A163" s="9"/>
      <c r="B163" s="10"/>
      <c r="C163" s="154"/>
      <c r="D163" s="154"/>
      <c r="E163" s="154"/>
      <c r="F163" s="154"/>
      <c r="G163" s="154"/>
      <c r="H163" s="154"/>
      <c r="I163" s="154"/>
      <c r="J163" s="12"/>
      <c r="L163" s="154"/>
      <c r="M163" s="154"/>
      <c r="N163" s="154"/>
      <c r="O163" s="154"/>
      <c r="P163" s="154"/>
      <c r="Q163" s="154"/>
      <c r="R163" s="154"/>
      <c r="S163" s="154"/>
      <c r="T163"/>
      <c r="U163"/>
      <c r="V163"/>
      <c r="W163"/>
      <c r="X163"/>
      <c r="Y163"/>
      <c r="Z163"/>
      <c r="AA163"/>
      <c r="AB163"/>
      <c r="AC163"/>
      <c r="AD163"/>
      <c r="AE163"/>
      <c r="AF163"/>
      <c r="AG163"/>
      <c r="AH163"/>
      <c r="AI163"/>
      <c r="AJ163"/>
      <c r="AK163"/>
      <c r="AL163"/>
      <c r="AM163"/>
      <c r="AN163"/>
      <c r="AO163"/>
      <c r="AP163"/>
      <c r="AQ163"/>
      <c r="AR163"/>
    </row>
    <row r="164" spans="1:44" s="42" customFormat="1">
      <c r="A164" s="9"/>
      <c r="B164" s="10"/>
      <c r="C164" s="154"/>
      <c r="D164" s="154"/>
      <c r="E164" s="154"/>
      <c r="F164" s="154"/>
      <c r="G164" s="154"/>
      <c r="H164" s="154"/>
      <c r="I164" s="154"/>
      <c r="J164" s="12"/>
      <c r="L164" s="154"/>
      <c r="M164" s="154"/>
      <c r="N164" s="154"/>
      <c r="O164" s="154"/>
      <c r="P164" s="154"/>
      <c r="Q164" s="154"/>
      <c r="R164" s="154"/>
      <c r="S164" s="154"/>
      <c r="T164"/>
      <c r="U164"/>
      <c r="V164"/>
      <c r="W164"/>
      <c r="X164"/>
      <c r="Y164"/>
      <c r="Z164"/>
      <c r="AA164"/>
      <c r="AB164"/>
      <c r="AC164"/>
      <c r="AD164"/>
      <c r="AE164"/>
      <c r="AF164"/>
      <c r="AG164"/>
      <c r="AH164"/>
      <c r="AI164"/>
      <c r="AJ164"/>
      <c r="AK164"/>
      <c r="AL164"/>
      <c r="AM164"/>
      <c r="AN164"/>
      <c r="AO164"/>
      <c r="AP164"/>
      <c r="AQ164"/>
      <c r="AR164"/>
    </row>
    <row r="165" spans="1:44" s="42" customFormat="1">
      <c r="A165" s="9"/>
      <c r="B165" s="10"/>
      <c r="C165" s="154"/>
      <c r="D165" s="154"/>
      <c r="E165" s="154"/>
      <c r="F165" s="154"/>
      <c r="G165" s="154"/>
      <c r="H165" s="154"/>
      <c r="I165" s="154"/>
      <c r="J165" s="12"/>
      <c r="L165" s="154"/>
      <c r="M165" s="154"/>
      <c r="N165" s="154"/>
      <c r="O165" s="154"/>
      <c r="P165" s="154"/>
      <c r="Q165" s="154"/>
      <c r="R165" s="154"/>
      <c r="S165" s="154"/>
      <c r="T165"/>
      <c r="U165"/>
      <c r="V165"/>
      <c r="W165"/>
      <c r="X165"/>
      <c r="Y165"/>
      <c r="Z165"/>
      <c r="AA165"/>
      <c r="AB165"/>
      <c r="AC165"/>
      <c r="AD165"/>
      <c r="AE165"/>
      <c r="AF165"/>
      <c r="AG165"/>
      <c r="AH165"/>
      <c r="AI165"/>
      <c r="AJ165"/>
      <c r="AK165"/>
      <c r="AL165"/>
      <c r="AM165"/>
      <c r="AN165"/>
      <c r="AO165"/>
      <c r="AP165"/>
      <c r="AQ165"/>
      <c r="AR165"/>
    </row>
    <row r="166" spans="1:44" s="42" customFormat="1">
      <c r="A166" s="9"/>
      <c r="B166" s="10"/>
      <c r="C166" s="154"/>
      <c r="D166" s="154"/>
      <c r="E166" s="154"/>
      <c r="F166" s="154"/>
      <c r="G166" s="154"/>
      <c r="H166" s="154"/>
      <c r="I166" s="154"/>
      <c r="J166" s="12"/>
      <c r="L166" s="154"/>
      <c r="M166" s="154"/>
      <c r="N166" s="154"/>
      <c r="O166" s="154"/>
      <c r="P166" s="154"/>
      <c r="Q166" s="154"/>
      <c r="R166" s="154"/>
      <c r="S166" s="154"/>
      <c r="T166"/>
      <c r="U166"/>
      <c r="V166"/>
      <c r="W166"/>
      <c r="X166"/>
      <c r="Y166"/>
      <c r="Z166"/>
      <c r="AA166"/>
      <c r="AB166"/>
      <c r="AC166"/>
      <c r="AD166"/>
      <c r="AE166"/>
      <c r="AF166"/>
      <c r="AG166"/>
      <c r="AH166"/>
      <c r="AI166"/>
      <c r="AJ166"/>
      <c r="AK166"/>
      <c r="AL166"/>
      <c r="AM166"/>
      <c r="AN166"/>
      <c r="AO166"/>
      <c r="AP166"/>
      <c r="AQ166"/>
      <c r="AR166"/>
    </row>
    <row r="167" spans="1:44" s="42" customFormat="1">
      <c r="A167" s="9"/>
      <c r="B167" s="10"/>
      <c r="C167" s="154"/>
      <c r="D167" s="154"/>
      <c r="E167" s="154"/>
      <c r="F167" s="154"/>
      <c r="G167" s="154"/>
      <c r="H167" s="154"/>
      <c r="I167" s="154"/>
      <c r="J167" s="12"/>
      <c r="L167" s="154"/>
      <c r="M167" s="154"/>
      <c r="N167" s="154"/>
      <c r="O167" s="154"/>
      <c r="P167" s="154"/>
      <c r="Q167" s="154"/>
      <c r="R167" s="154"/>
      <c r="S167" s="154"/>
      <c r="T167"/>
      <c r="U167"/>
      <c r="V167"/>
      <c r="W167"/>
      <c r="X167"/>
      <c r="Y167"/>
      <c r="Z167"/>
      <c r="AA167"/>
      <c r="AB167"/>
      <c r="AC167"/>
      <c r="AD167"/>
      <c r="AE167"/>
      <c r="AF167"/>
      <c r="AG167"/>
      <c r="AH167"/>
      <c r="AI167"/>
      <c r="AJ167"/>
      <c r="AK167"/>
      <c r="AL167"/>
      <c r="AM167"/>
      <c r="AN167"/>
      <c r="AO167"/>
      <c r="AP167"/>
      <c r="AQ167"/>
      <c r="AR167"/>
    </row>
    <row r="168" spans="1:44" s="42" customFormat="1">
      <c r="A168" s="9"/>
      <c r="B168" s="10"/>
      <c r="C168" s="154"/>
      <c r="D168" s="154"/>
      <c r="E168" s="154"/>
      <c r="F168" s="154"/>
      <c r="G168" s="154"/>
      <c r="H168" s="154"/>
      <c r="I168" s="154"/>
      <c r="J168" s="154"/>
      <c r="L168" s="154"/>
      <c r="M168" s="154"/>
      <c r="N168" s="154"/>
      <c r="O168" s="154"/>
      <c r="P168" s="154"/>
      <c r="Q168" s="154"/>
      <c r="R168" s="154"/>
      <c r="S168" s="154"/>
      <c r="T168"/>
      <c r="U168"/>
      <c r="V168"/>
      <c r="W168"/>
      <c r="X168"/>
      <c r="Y168"/>
      <c r="Z168"/>
      <c r="AA168"/>
      <c r="AB168"/>
      <c r="AC168"/>
      <c r="AD168"/>
      <c r="AE168"/>
      <c r="AF168"/>
      <c r="AG168"/>
      <c r="AH168"/>
      <c r="AI168"/>
      <c r="AJ168"/>
      <c r="AK168"/>
      <c r="AL168"/>
      <c r="AM168"/>
      <c r="AN168"/>
      <c r="AO168"/>
      <c r="AP168"/>
      <c r="AQ168"/>
      <c r="AR168"/>
    </row>
    <row r="169" spans="1:44" s="42" customFormat="1">
      <c r="A169" s="9"/>
      <c r="B169" s="10"/>
      <c r="C169" s="154"/>
      <c r="D169" s="154"/>
      <c r="E169" s="154"/>
      <c r="F169" s="154"/>
      <c r="G169" s="154"/>
      <c r="H169" s="154"/>
      <c r="I169" s="154"/>
      <c r="J169" s="154"/>
      <c r="L169" s="154"/>
      <c r="M169" s="154"/>
      <c r="N169" s="154"/>
      <c r="O169" s="154"/>
      <c r="P169" s="154"/>
      <c r="Q169" s="154"/>
      <c r="R169" s="154"/>
      <c r="S169" s="154"/>
      <c r="T169"/>
      <c r="U169"/>
      <c r="V169"/>
      <c r="W169"/>
      <c r="X169"/>
      <c r="Y169"/>
      <c r="Z169"/>
      <c r="AA169"/>
      <c r="AB169"/>
      <c r="AC169"/>
      <c r="AD169"/>
      <c r="AE169"/>
      <c r="AF169"/>
      <c r="AG169"/>
      <c r="AH169"/>
      <c r="AI169"/>
      <c r="AJ169"/>
      <c r="AK169"/>
      <c r="AL169"/>
      <c r="AM169"/>
      <c r="AN169"/>
      <c r="AO169"/>
      <c r="AP169"/>
      <c r="AQ169"/>
      <c r="AR169"/>
    </row>
    <row r="170" spans="1:44" s="42" customFormat="1">
      <c r="A170" s="9"/>
      <c r="B170" s="10"/>
      <c r="C170" s="154"/>
      <c r="D170" s="154"/>
      <c r="E170" s="154"/>
      <c r="F170" s="154"/>
      <c r="G170" s="154"/>
      <c r="H170" s="154"/>
      <c r="I170" s="154"/>
      <c r="J170" s="154"/>
      <c r="L170" s="154"/>
      <c r="M170" s="154"/>
      <c r="N170" s="154"/>
      <c r="O170" s="154"/>
      <c r="P170" s="154"/>
      <c r="Q170" s="154"/>
      <c r="R170" s="154"/>
      <c r="S170" s="154"/>
      <c r="T170"/>
      <c r="U170"/>
      <c r="V170"/>
      <c r="W170"/>
      <c r="X170"/>
      <c r="Y170"/>
      <c r="Z170"/>
      <c r="AA170"/>
      <c r="AB170"/>
      <c r="AC170"/>
      <c r="AD170"/>
      <c r="AE170"/>
      <c r="AF170"/>
      <c r="AG170"/>
      <c r="AH170"/>
      <c r="AI170"/>
      <c r="AJ170"/>
      <c r="AK170"/>
      <c r="AL170"/>
      <c r="AM170"/>
      <c r="AN170"/>
      <c r="AO170"/>
      <c r="AP170"/>
      <c r="AQ170"/>
      <c r="AR170"/>
    </row>
    <row r="171" spans="1:44" s="42" customFormat="1">
      <c r="A171" s="9"/>
      <c r="B171" s="10"/>
      <c r="C171" s="154"/>
      <c r="D171" s="154"/>
      <c r="E171" s="154"/>
      <c r="F171" s="154"/>
      <c r="G171" s="154"/>
      <c r="H171" s="154"/>
      <c r="I171" s="154"/>
      <c r="J171" s="154"/>
      <c r="L171" s="154"/>
      <c r="M171" s="154"/>
      <c r="N171" s="154"/>
      <c r="O171" s="154"/>
      <c r="P171" s="154"/>
      <c r="Q171" s="154"/>
      <c r="R171" s="154"/>
      <c r="S171" s="154"/>
      <c r="T171"/>
      <c r="U171"/>
      <c r="V171"/>
      <c r="W171"/>
      <c r="X171"/>
      <c r="Y171"/>
      <c r="Z171"/>
      <c r="AA171"/>
      <c r="AB171"/>
      <c r="AC171"/>
      <c r="AD171"/>
      <c r="AE171"/>
      <c r="AF171"/>
      <c r="AG171"/>
      <c r="AH171"/>
      <c r="AI171"/>
      <c r="AJ171"/>
      <c r="AK171"/>
      <c r="AL171"/>
      <c r="AM171"/>
      <c r="AN171"/>
      <c r="AO171"/>
      <c r="AP171"/>
      <c r="AQ171"/>
      <c r="AR171"/>
    </row>
    <row r="172" spans="1:44" s="42" customFormat="1">
      <c r="A172" s="9"/>
      <c r="B172" s="10"/>
      <c r="C172" s="154"/>
      <c r="D172" s="154"/>
      <c r="E172" s="154"/>
      <c r="F172" s="154"/>
      <c r="G172" s="154"/>
      <c r="H172" s="154"/>
      <c r="I172" s="154"/>
      <c r="J172" s="154"/>
      <c r="L172" s="154"/>
      <c r="M172" s="154"/>
      <c r="N172" s="154"/>
      <c r="O172" s="154"/>
      <c r="P172" s="154"/>
      <c r="Q172" s="154"/>
      <c r="R172" s="154"/>
      <c r="S172" s="154"/>
      <c r="T172"/>
      <c r="U172"/>
      <c r="V172"/>
      <c r="W172"/>
      <c r="X172"/>
      <c r="Y172"/>
      <c r="Z172"/>
      <c r="AA172"/>
      <c r="AB172"/>
      <c r="AC172"/>
      <c r="AD172"/>
      <c r="AE172"/>
      <c r="AF172"/>
      <c r="AG172"/>
      <c r="AH172"/>
      <c r="AI172"/>
      <c r="AJ172"/>
      <c r="AK172"/>
      <c r="AL172"/>
      <c r="AM172"/>
      <c r="AN172"/>
      <c r="AO172"/>
      <c r="AP172"/>
      <c r="AQ172"/>
      <c r="AR172"/>
    </row>
    <row r="173" spans="1:44" s="42" customFormat="1">
      <c r="A173" s="9"/>
      <c r="B173" s="10"/>
      <c r="C173" s="154"/>
      <c r="D173" s="154"/>
      <c r="E173" s="154"/>
      <c r="F173" s="154"/>
      <c r="G173" s="154"/>
      <c r="H173" s="154"/>
      <c r="I173" s="154"/>
      <c r="J173" s="154"/>
      <c r="L173" s="154"/>
      <c r="M173" s="154"/>
      <c r="N173" s="154"/>
      <c r="O173" s="154"/>
      <c r="P173" s="154"/>
      <c r="Q173" s="154"/>
      <c r="R173" s="154"/>
      <c r="S173" s="154"/>
      <c r="T173"/>
      <c r="U173"/>
      <c r="V173"/>
      <c r="W173"/>
      <c r="X173"/>
      <c r="Y173"/>
      <c r="Z173"/>
      <c r="AA173"/>
      <c r="AB173"/>
      <c r="AC173"/>
      <c r="AD173"/>
      <c r="AE173"/>
      <c r="AF173"/>
      <c r="AG173"/>
      <c r="AH173"/>
      <c r="AI173"/>
      <c r="AJ173"/>
      <c r="AK173"/>
      <c r="AL173"/>
      <c r="AM173"/>
      <c r="AN173"/>
      <c r="AO173"/>
      <c r="AP173"/>
      <c r="AQ173"/>
      <c r="AR173"/>
    </row>
    <row r="174" spans="1:44" s="42" customFormat="1">
      <c r="A174" s="9"/>
      <c r="B174" s="10"/>
      <c r="C174" s="154"/>
      <c r="D174" s="154"/>
      <c r="E174" s="154"/>
      <c r="F174" s="154"/>
      <c r="G174" s="154"/>
      <c r="H174" s="154"/>
      <c r="I174" s="154"/>
      <c r="J174" s="154"/>
      <c r="L174" s="154"/>
      <c r="M174" s="154"/>
      <c r="N174" s="154"/>
      <c r="O174" s="154"/>
      <c r="P174" s="154"/>
      <c r="Q174" s="154"/>
      <c r="R174" s="154"/>
      <c r="S174" s="154"/>
      <c r="T174"/>
      <c r="U174"/>
      <c r="V174"/>
      <c r="W174"/>
      <c r="X174"/>
      <c r="Y174"/>
      <c r="Z174"/>
      <c r="AA174"/>
      <c r="AB174"/>
      <c r="AC174"/>
      <c r="AD174"/>
      <c r="AE174"/>
      <c r="AF174"/>
      <c r="AG174"/>
      <c r="AH174"/>
      <c r="AI174"/>
      <c r="AJ174"/>
      <c r="AK174"/>
      <c r="AL174"/>
      <c r="AM174"/>
      <c r="AN174"/>
      <c r="AO174"/>
      <c r="AP174"/>
      <c r="AQ174"/>
      <c r="AR174"/>
    </row>
    <row r="175" spans="1:44" s="42" customFormat="1">
      <c r="A175" s="9"/>
      <c r="B175" s="10"/>
      <c r="C175" s="154"/>
      <c r="D175" s="154"/>
      <c r="E175" s="154"/>
      <c r="F175" s="154"/>
      <c r="G175" s="154"/>
      <c r="H175" s="154"/>
      <c r="I175" s="154"/>
      <c r="J175" s="154"/>
      <c r="L175" s="154"/>
      <c r="M175" s="154"/>
      <c r="N175" s="154"/>
      <c r="O175" s="154"/>
      <c r="P175" s="154"/>
      <c r="Q175" s="154"/>
      <c r="R175" s="154"/>
      <c r="S175" s="154"/>
      <c r="T175"/>
      <c r="U175"/>
      <c r="V175"/>
      <c r="W175"/>
      <c r="X175"/>
      <c r="Y175"/>
      <c r="Z175"/>
      <c r="AA175"/>
      <c r="AB175"/>
      <c r="AC175"/>
      <c r="AD175"/>
      <c r="AE175"/>
      <c r="AF175"/>
      <c r="AG175"/>
      <c r="AH175"/>
      <c r="AI175"/>
      <c r="AJ175"/>
      <c r="AK175"/>
      <c r="AL175"/>
      <c r="AM175"/>
      <c r="AN175"/>
      <c r="AO175"/>
      <c r="AP175"/>
      <c r="AQ175"/>
      <c r="AR175"/>
    </row>
    <row r="176" spans="1:44" s="42" customFormat="1">
      <c r="A176" s="9"/>
      <c r="B176" s="10"/>
      <c r="C176" s="154"/>
      <c r="D176" s="154"/>
      <c r="E176" s="154"/>
      <c r="F176" s="154"/>
      <c r="G176" s="154"/>
      <c r="H176" s="154"/>
      <c r="I176" s="154"/>
      <c r="J176" s="154"/>
      <c r="L176" s="154"/>
      <c r="M176" s="154"/>
      <c r="N176" s="154"/>
      <c r="O176" s="154"/>
      <c r="P176" s="154"/>
      <c r="Q176" s="154"/>
      <c r="R176" s="154"/>
      <c r="S176" s="154"/>
      <c r="T176"/>
      <c r="U176"/>
      <c r="V176"/>
      <c r="W176"/>
      <c r="X176"/>
      <c r="Y176"/>
      <c r="Z176"/>
      <c r="AA176"/>
      <c r="AB176"/>
      <c r="AC176"/>
      <c r="AD176"/>
      <c r="AE176"/>
      <c r="AF176"/>
      <c r="AG176"/>
      <c r="AH176"/>
      <c r="AI176"/>
      <c r="AJ176"/>
      <c r="AK176"/>
      <c r="AL176"/>
      <c r="AM176"/>
      <c r="AN176"/>
      <c r="AO176"/>
      <c r="AP176"/>
      <c r="AQ176"/>
      <c r="AR176"/>
    </row>
    <row r="177" spans="1:44" s="42" customFormat="1">
      <c r="A177" s="9"/>
      <c r="B177" s="10"/>
      <c r="C177" s="154"/>
      <c r="D177" s="154"/>
      <c r="E177" s="154"/>
      <c r="F177" s="154"/>
      <c r="G177" s="154"/>
      <c r="H177" s="154"/>
      <c r="I177" s="154"/>
      <c r="J177" s="154"/>
      <c r="L177" s="154"/>
      <c r="M177" s="154"/>
      <c r="N177" s="154"/>
      <c r="O177" s="154"/>
      <c r="P177" s="154"/>
      <c r="Q177" s="154"/>
      <c r="R177" s="154"/>
      <c r="S177" s="154"/>
      <c r="T177"/>
      <c r="U177"/>
      <c r="V177"/>
      <c r="W177"/>
      <c r="X177"/>
      <c r="Y177"/>
      <c r="Z177"/>
      <c r="AA177"/>
      <c r="AB177"/>
      <c r="AC177"/>
      <c r="AD177"/>
      <c r="AE177"/>
      <c r="AF177"/>
      <c r="AG177"/>
      <c r="AH177"/>
      <c r="AI177"/>
      <c r="AJ177"/>
      <c r="AK177"/>
      <c r="AL177"/>
      <c r="AM177"/>
      <c r="AN177"/>
      <c r="AO177"/>
      <c r="AP177"/>
      <c r="AQ177"/>
      <c r="AR177"/>
    </row>
    <row r="178" spans="1:44" s="42" customFormat="1">
      <c r="A178" s="9"/>
      <c r="B178" s="10"/>
      <c r="C178" s="154"/>
      <c r="D178" s="154"/>
      <c r="E178" s="154"/>
      <c r="F178" s="154"/>
      <c r="G178" s="154"/>
      <c r="H178" s="154"/>
      <c r="I178" s="154"/>
      <c r="J178" s="154"/>
      <c r="L178" s="154"/>
      <c r="M178" s="154"/>
      <c r="N178" s="154"/>
      <c r="O178" s="154"/>
      <c r="P178" s="154"/>
      <c r="Q178" s="154"/>
      <c r="R178" s="154"/>
      <c r="S178" s="154"/>
      <c r="T178"/>
      <c r="U178"/>
      <c r="V178"/>
      <c r="W178"/>
      <c r="X178"/>
      <c r="Y178"/>
      <c r="Z178"/>
      <c r="AA178"/>
      <c r="AB178"/>
      <c r="AC178"/>
      <c r="AD178"/>
      <c r="AE178"/>
      <c r="AF178"/>
      <c r="AG178"/>
      <c r="AH178"/>
      <c r="AI178"/>
      <c r="AJ178"/>
      <c r="AK178"/>
      <c r="AL178"/>
      <c r="AM178"/>
      <c r="AN178"/>
      <c r="AO178"/>
      <c r="AP178"/>
      <c r="AQ178"/>
      <c r="AR178"/>
    </row>
    <row r="179" spans="1:44" s="42" customFormat="1">
      <c r="A179" s="9"/>
      <c r="B179" s="10"/>
      <c r="C179" s="154"/>
      <c r="D179" s="154"/>
      <c r="E179" s="154"/>
      <c r="F179" s="154"/>
      <c r="G179" s="154"/>
      <c r="H179" s="154"/>
      <c r="I179" s="154"/>
      <c r="J179" s="154"/>
      <c r="L179" s="154"/>
      <c r="M179" s="154"/>
      <c r="N179" s="154"/>
      <c r="O179" s="154"/>
      <c r="P179" s="154"/>
      <c r="Q179" s="154"/>
      <c r="R179" s="154"/>
      <c r="S179" s="154"/>
      <c r="T179"/>
      <c r="U179"/>
      <c r="V179"/>
      <c r="W179"/>
      <c r="X179"/>
      <c r="Y179"/>
      <c r="Z179"/>
      <c r="AA179"/>
      <c r="AB179"/>
      <c r="AC179"/>
      <c r="AD179"/>
      <c r="AE179"/>
      <c r="AF179"/>
      <c r="AG179"/>
      <c r="AH179"/>
      <c r="AI179"/>
      <c r="AJ179"/>
      <c r="AK179"/>
      <c r="AL179"/>
      <c r="AM179"/>
      <c r="AN179"/>
      <c r="AO179"/>
      <c r="AP179"/>
      <c r="AQ179"/>
      <c r="AR179"/>
    </row>
    <row r="180" spans="1:44" s="42" customFormat="1">
      <c r="A180" s="9"/>
      <c r="B180" s="10"/>
      <c r="C180" s="154"/>
      <c r="D180" s="154"/>
      <c r="E180" s="154"/>
      <c r="F180" s="154"/>
      <c r="G180" s="154"/>
      <c r="H180" s="154"/>
      <c r="I180" s="154"/>
      <c r="J180" s="154"/>
      <c r="L180" s="154"/>
      <c r="M180" s="154"/>
      <c r="N180" s="154"/>
      <c r="O180" s="154"/>
      <c r="P180" s="154"/>
      <c r="Q180" s="154"/>
      <c r="R180" s="154"/>
      <c r="S180" s="154"/>
      <c r="T180"/>
      <c r="U180"/>
      <c r="V180"/>
      <c r="W180"/>
      <c r="X180"/>
      <c r="Y180"/>
      <c r="Z180"/>
      <c r="AA180"/>
      <c r="AB180"/>
      <c r="AC180"/>
      <c r="AD180"/>
      <c r="AE180"/>
      <c r="AF180"/>
      <c r="AG180"/>
      <c r="AH180"/>
      <c r="AI180"/>
      <c r="AJ180"/>
      <c r="AK180"/>
      <c r="AL180"/>
      <c r="AM180"/>
      <c r="AN180"/>
      <c r="AO180"/>
      <c r="AP180"/>
      <c r="AQ180"/>
      <c r="AR180"/>
    </row>
    <row r="181" spans="1:44">
      <c r="A181" s="9"/>
      <c r="B181" s="10"/>
    </row>
    <row r="182" spans="1:44">
      <c r="A182" s="9"/>
      <c r="B182" s="10"/>
    </row>
    <row r="183" spans="1:44">
      <c r="A183" s="9"/>
      <c r="B183" s="13"/>
    </row>
    <row r="184" spans="1:44">
      <c r="A184" s="9"/>
      <c r="B184" s="13"/>
    </row>
    <row r="185" spans="1:44">
      <c r="A185" s="9"/>
      <c r="B185" s="13"/>
    </row>
    <row r="186" spans="1:44">
      <c r="A186" s="9"/>
      <c r="B186" s="13"/>
    </row>
  </sheetData>
  <mergeCells count="6">
    <mergeCell ref="K1:S1"/>
    <mergeCell ref="A67:I69"/>
    <mergeCell ref="A66:I66"/>
    <mergeCell ref="A1:I1"/>
    <mergeCell ref="K60:S60"/>
    <mergeCell ref="K55:S55"/>
  </mergeCells>
  <pageMargins left="0.7" right="0.7" top="0.75" bottom="0.75" header="0.3" footer="0.3"/>
  <pageSetup scale="55"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dimension ref="A1:N51"/>
  <sheetViews>
    <sheetView view="pageBreakPreview" zoomScaleSheetLayoutView="100" workbookViewId="0">
      <selection activeCell="B5" sqref="B5"/>
    </sheetView>
  </sheetViews>
  <sheetFormatPr defaultRowHeight="15"/>
  <cols>
    <col min="1" max="1" width="24.140625" style="42" customWidth="1"/>
    <col min="2" max="5" width="16" style="42" customWidth="1"/>
    <col min="6" max="8" width="9.140625" style="42"/>
    <col min="9" max="14" width="0" style="42" hidden="1" customWidth="1"/>
    <col min="15" max="16384" width="9.140625" style="42"/>
  </cols>
  <sheetData>
    <row r="1" spans="1:14">
      <c r="A1" s="181" t="s">
        <v>223</v>
      </c>
      <c r="B1" s="181"/>
      <c r="C1" s="181"/>
      <c r="D1" s="181"/>
      <c r="E1" s="181"/>
      <c r="F1" s="181"/>
    </row>
    <row r="3" spans="1:14">
      <c r="A3" s="5" t="s">
        <v>128</v>
      </c>
    </row>
    <row r="4" spans="1:14">
      <c r="B4" s="186" t="s">
        <v>13</v>
      </c>
      <c r="C4" s="188"/>
      <c r="D4" s="186" t="s">
        <v>14</v>
      </c>
      <c r="E4" s="187"/>
    </row>
    <row r="5" spans="1:14">
      <c r="B5" s="173" t="s">
        <v>224</v>
      </c>
      <c r="C5" s="86" t="s">
        <v>15</v>
      </c>
      <c r="D5" s="66" t="s">
        <v>224</v>
      </c>
      <c r="E5" s="141" t="s">
        <v>15</v>
      </c>
    </row>
    <row r="6" spans="1:14">
      <c r="A6" s="66" t="s">
        <v>0</v>
      </c>
      <c r="B6" s="144">
        <f>'6'!B53</f>
        <v>18566.400000000001</v>
      </c>
      <c r="C6" s="75">
        <f>'5'!B53</f>
        <v>20494.099999999999</v>
      </c>
      <c r="D6" s="144">
        <f>'6'!L41</f>
        <v>2054.3277499999999</v>
      </c>
      <c r="E6" s="3">
        <f>'5'!L41</f>
        <v>2219.0609999999997</v>
      </c>
    </row>
    <row r="7" spans="1:14">
      <c r="A7" s="67" t="s">
        <v>2</v>
      </c>
      <c r="B7" s="145">
        <f>'6'!C53</f>
        <v>18609.7</v>
      </c>
      <c r="C7" s="45">
        <f>'5'!C53</f>
        <v>20541.8</v>
      </c>
      <c r="D7" s="145">
        <f>'6'!M41</f>
        <v>2013.5608850598751</v>
      </c>
      <c r="E7" s="3">
        <f>'5'!M41</f>
        <v>2219.0609999999997</v>
      </c>
    </row>
    <row r="8" spans="1:14">
      <c r="A8" s="67" t="s">
        <v>143</v>
      </c>
      <c r="B8" s="145">
        <f>B6-B7</f>
        <v>-43.299999999999272</v>
      </c>
      <c r="C8" s="45">
        <f>C6-C7</f>
        <v>-47.700000000000728</v>
      </c>
      <c r="D8" s="145">
        <f>D6-D7</f>
        <v>40.766864940124833</v>
      </c>
      <c r="E8" s="3">
        <f>E6-E7</f>
        <v>0</v>
      </c>
      <c r="I8" s="42">
        <f t="shared" ref="I8:N8" si="0">100*B8/B6</f>
        <v>-0.23321699413994781</v>
      </c>
      <c r="J8" s="42">
        <f t="shared" si="0"/>
        <v>-0.23274991338971085</v>
      </c>
      <c r="K8" s="42">
        <f t="shared" si="0"/>
        <v>1.9844382153784776</v>
      </c>
      <c r="L8" s="42">
        <f t="shared" si="0"/>
        <v>0</v>
      </c>
      <c r="M8" s="42" t="e">
        <f t="shared" si="0"/>
        <v>#DIV/0!</v>
      </c>
      <c r="N8" s="42" t="e">
        <f t="shared" si="0"/>
        <v>#DIV/0!</v>
      </c>
    </row>
    <row r="9" spans="1:14">
      <c r="A9" s="67" t="s">
        <v>6</v>
      </c>
      <c r="B9" s="145">
        <f>'6'!D53</f>
        <v>18815.900000000001</v>
      </c>
      <c r="C9" s="45">
        <f>'5'!D53</f>
        <v>20755.5</v>
      </c>
      <c r="D9" s="145">
        <f>'6'!N41</f>
        <v>2027.9018042401719</v>
      </c>
      <c r="E9" s="3">
        <f>'5'!N41</f>
        <v>2190.5160000000001</v>
      </c>
    </row>
    <row r="10" spans="1:14">
      <c r="A10" s="67" t="s">
        <v>3</v>
      </c>
      <c r="B10" s="145">
        <f>'6'!E53</f>
        <v>18859.2</v>
      </c>
      <c r="C10" s="45">
        <f>'5'!E53</f>
        <v>20803.2</v>
      </c>
      <c r="D10" s="145">
        <f>'6'!O41</f>
        <v>1987.6593458664804</v>
      </c>
      <c r="E10" s="3">
        <f>'5'!O41</f>
        <v>2190.5160000000001</v>
      </c>
    </row>
    <row r="11" spans="1:14">
      <c r="A11" s="67" t="s">
        <v>143</v>
      </c>
      <c r="B11" s="145">
        <f>B9-B10</f>
        <v>-43.299999999999272</v>
      </c>
      <c r="C11" s="45">
        <f>C9-C10</f>
        <v>-47.700000000000728</v>
      </c>
      <c r="D11" s="145">
        <f>D9-D10</f>
        <v>40.242458373691534</v>
      </c>
      <c r="E11" s="3">
        <f>E9-E10</f>
        <v>0</v>
      </c>
      <c r="I11" s="42">
        <f>100*B11/B9</f>
        <v>-0.23012452234545927</v>
      </c>
      <c r="J11" s="42">
        <f>100*C11/C9</f>
        <v>-0.22981860229818954</v>
      </c>
      <c r="K11" s="42">
        <f>100*D11/D9</f>
        <v>1.9844382153784734</v>
      </c>
      <c r="L11" s="42">
        <f>100*E11/E9</f>
        <v>0</v>
      </c>
    </row>
    <row r="12" spans="1:14">
      <c r="A12" s="67" t="s">
        <v>4</v>
      </c>
      <c r="B12" s="145">
        <f>'6'!F53</f>
        <v>15514.6</v>
      </c>
      <c r="C12" s="45">
        <f>'5'!F53</f>
        <v>17220.2</v>
      </c>
      <c r="D12" s="145">
        <f>'6'!P41</f>
        <v>-321003.13916558801</v>
      </c>
      <c r="E12" s="3">
        <f>'5'!P41</f>
        <v>-365010.93900000001</v>
      </c>
    </row>
    <row r="13" spans="1:14">
      <c r="A13" s="67" t="s">
        <v>5</v>
      </c>
      <c r="B13" s="145">
        <f>'6'!G53</f>
        <v>15557.6</v>
      </c>
      <c r="C13" s="45">
        <f>'5'!G53</f>
        <v>17268</v>
      </c>
      <c r="D13" s="145">
        <f>'6'!Q41</f>
        <v>1680.3388763721746</v>
      </c>
      <c r="E13" s="3">
        <f>'5'!Q41</f>
        <v>1851.8310000000001</v>
      </c>
    </row>
    <row r="14" spans="1:14">
      <c r="A14" s="67" t="s">
        <v>143</v>
      </c>
      <c r="B14" s="145">
        <f>B12-B13</f>
        <v>-43</v>
      </c>
      <c r="C14" s="45">
        <f>C12-C13</f>
        <v>-47.799999999999272</v>
      </c>
      <c r="D14" s="145">
        <f>D12-D13</f>
        <v>-322683.47804196022</v>
      </c>
      <c r="E14" s="3">
        <f>E12-E13</f>
        <v>-366862.77</v>
      </c>
      <c r="I14" s="42">
        <f>100*B14/B12</f>
        <v>-0.27715828961107603</v>
      </c>
      <c r="J14" s="42">
        <f>100*C14/C12</f>
        <v>-0.277580980476413</v>
      </c>
      <c r="K14" s="42">
        <f>100*D14/D12</f>
        <v>100.52346493580718</v>
      </c>
      <c r="L14" s="42">
        <f>100*E14/E12</f>
        <v>100.50733575412106</v>
      </c>
    </row>
    <row r="15" spans="1:14">
      <c r="A15" s="67" t="s">
        <v>1</v>
      </c>
      <c r="B15" s="145">
        <f>'6'!H53</f>
        <v>15763.9</v>
      </c>
      <c r="C15" s="45">
        <f>'5'!H53</f>
        <v>17481.599999999999</v>
      </c>
      <c r="D15" s="145">
        <f>'6'!R41</f>
        <v>-321029.56511134782</v>
      </c>
      <c r="E15" s="3">
        <f>'5'!R41</f>
        <v>-365039.484</v>
      </c>
    </row>
    <row r="16" spans="1:14">
      <c r="A16" s="67" t="s">
        <v>7</v>
      </c>
      <c r="B16" s="145">
        <f>'6'!I53</f>
        <v>16084.056344248267</v>
      </c>
      <c r="C16" s="45">
        <f>'5'!I53</f>
        <v>18550.600000000002</v>
      </c>
      <c r="D16" s="145">
        <f>'6'!S41</f>
        <v>1654.4373371787794</v>
      </c>
      <c r="E16" s="3">
        <f>'5'!S41</f>
        <v>1823.2860000000001</v>
      </c>
    </row>
    <row r="17" spans="1:12">
      <c r="A17" s="68" t="s">
        <v>143</v>
      </c>
      <c r="B17" s="146">
        <f>B15-B16</f>
        <v>-320.15634424826749</v>
      </c>
      <c r="C17" s="76">
        <f>C15-C16</f>
        <v>-1069.0000000000036</v>
      </c>
      <c r="D17" s="146">
        <f>D15-D16</f>
        <v>-322684.00244852662</v>
      </c>
      <c r="E17" s="84">
        <f>E15-E16</f>
        <v>-366862.77</v>
      </c>
      <c r="I17" s="42">
        <f>100*B17/B15</f>
        <v>-2.0309463029343466</v>
      </c>
      <c r="J17" s="42">
        <f>100*C17/C15</f>
        <v>-6.1150009152480536</v>
      </c>
      <c r="K17" s="42">
        <f>100*D17/D15</f>
        <v>100.51535357393172</v>
      </c>
      <c r="L17" s="42">
        <f>100*E17/E15</f>
        <v>100.49947637993046</v>
      </c>
    </row>
    <row r="18" spans="1:12">
      <c r="A18" s="9"/>
      <c r="B18" s="41"/>
      <c r="C18" s="41"/>
      <c r="D18" s="41"/>
      <c r="E18" s="41"/>
    </row>
    <row r="19" spans="1:12">
      <c r="A19" s="5" t="s">
        <v>129</v>
      </c>
    </row>
    <row r="20" spans="1:12">
      <c r="B20" s="186" t="s">
        <v>13</v>
      </c>
      <c r="C20" s="187"/>
      <c r="D20" s="186" t="s">
        <v>14</v>
      </c>
      <c r="E20" s="187"/>
    </row>
    <row r="21" spans="1:12">
      <c r="B21" s="173" t="s">
        <v>224</v>
      </c>
      <c r="C21" s="173" t="s">
        <v>15</v>
      </c>
      <c r="D21" s="66" t="s">
        <v>224</v>
      </c>
      <c r="E21" s="173" t="s">
        <v>15</v>
      </c>
    </row>
    <row r="22" spans="1:12">
      <c r="A22" s="147" t="str">
        <f>A9</f>
        <v>Gross national product</v>
      </c>
      <c r="B22" s="144">
        <f>B9</f>
        <v>18815.900000000001</v>
      </c>
      <c r="C22" s="83">
        <f>C9</f>
        <v>20755.5</v>
      </c>
      <c r="D22" s="144">
        <f>D9</f>
        <v>2027.9018042401719</v>
      </c>
      <c r="E22" s="83">
        <f>E9</f>
        <v>2190.5160000000001</v>
      </c>
    </row>
    <row r="23" spans="1:12">
      <c r="A23" s="81" t="str">
        <f>A6</f>
        <v>Gross domestic product</v>
      </c>
      <c r="B23" s="145">
        <f>B6</f>
        <v>18566.400000000001</v>
      </c>
      <c r="C23" s="3">
        <f>C6</f>
        <v>20494.099999999999</v>
      </c>
      <c r="D23" s="145">
        <f>D6</f>
        <v>2054.3277499999999</v>
      </c>
      <c r="E23" s="3">
        <f>E6</f>
        <v>2219.0609999999997</v>
      </c>
    </row>
    <row r="24" spans="1:12">
      <c r="A24" s="81" t="s">
        <v>143</v>
      </c>
      <c r="B24" s="145">
        <f>B22-B23</f>
        <v>249.5</v>
      </c>
      <c r="C24" s="3">
        <f>C22-C23</f>
        <v>261.40000000000146</v>
      </c>
      <c r="D24" s="145">
        <f>D22-D23</f>
        <v>-26.425945759827982</v>
      </c>
      <c r="E24" s="3">
        <f>E22-E23</f>
        <v>-28.544999999999618</v>
      </c>
      <c r="G24" s="4"/>
      <c r="H24" s="4"/>
    </row>
    <row r="25" spans="1:12">
      <c r="A25" s="81" t="str">
        <f>A10</f>
        <v>Gross national income</v>
      </c>
      <c r="B25" s="145">
        <f>B10</f>
        <v>18859.2</v>
      </c>
      <c r="C25" s="3">
        <f>C10</f>
        <v>20803.2</v>
      </c>
      <c r="D25" s="145">
        <f>D10</f>
        <v>1987.6593458664804</v>
      </c>
      <c r="E25" s="3">
        <f>E10</f>
        <v>2190.5160000000001</v>
      </c>
    </row>
    <row r="26" spans="1:12">
      <c r="A26" s="81" t="str">
        <f>A7</f>
        <v>Gross domestic income</v>
      </c>
      <c r="B26" s="145">
        <f>B7</f>
        <v>18609.7</v>
      </c>
      <c r="C26" s="3">
        <f>C7</f>
        <v>20541.8</v>
      </c>
      <c r="D26" s="145">
        <f>D7</f>
        <v>2013.5608850598751</v>
      </c>
      <c r="E26" s="3">
        <f>E7</f>
        <v>2219.0609999999997</v>
      </c>
    </row>
    <row r="27" spans="1:12">
      <c r="A27" s="81" t="s">
        <v>143</v>
      </c>
      <c r="B27" s="145">
        <f>B25-B26</f>
        <v>249.5</v>
      </c>
      <c r="C27" s="3">
        <f>C25-C26</f>
        <v>261.40000000000146</v>
      </c>
      <c r="D27" s="145">
        <f>D25-D26</f>
        <v>-25.901539193394683</v>
      </c>
      <c r="E27" s="3">
        <f>E25-E26</f>
        <v>-28.544999999999618</v>
      </c>
    </row>
    <row r="28" spans="1:12">
      <c r="A28" s="81" t="str">
        <f>A15</f>
        <v>Net national product</v>
      </c>
      <c r="B28" s="145">
        <f>B15</f>
        <v>15763.9</v>
      </c>
      <c r="C28" s="3">
        <f>C15</f>
        <v>17481.599999999999</v>
      </c>
      <c r="D28" s="145">
        <f>D15</f>
        <v>-321029.56511134782</v>
      </c>
      <c r="E28" s="3">
        <f>E15</f>
        <v>-365039.484</v>
      </c>
    </row>
    <row r="29" spans="1:12">
      <c r="A29" s="81" t="str">
        <f>A12</f>
        <v>Net domestic product</v>
      </c>
      <c r="B29" s="145">
        <f>B12</f>
        <v>15514.6</v>
      </c>
      <c r="C29" s="3">
        <f>C12</f>
        <v>17220.2</v>
      </c>
      <c r="D29" s="145">
        <f>D12</f>
        <v>-321003.13916558801</v>
      </c>
      <c r="E29" s="3">
        <f>E12</f>
        <v>-365010.93900000001</v>
      </c>
    </row>
    <row r="30" spans="1:12">
      <c r="A30" s="81" t="s">
        <v>143</v>
      </c>
      <c r="B30" s="145">
        <f>B28-B29</f>
        <v>249.29999999999927</v>
      </c>
      <c r="C30" s="3">
        <f>C28-C29</f>
        <v>261.39999999999782</v>
      </c>
      <c r="D30" s="145">
        <f>D28-D29</f>
        <v>-26.42594575980911</v>
      </c>
      <c r="E30" s="3">
        <f>E28-E29</f>
        <v>-28.544999999983702</v>
      </c>
    </row>
    <row r="31" spans="1:12">
      <c r="A31" s="81" t="str">
        <f>A16</f>
        <v>Net national income</v>
      </c>
      <c r="B31" s="145">
        <f>B16</f>
        <v>16084.056344248267</v>
      </c>
      <c r="C31" s="3">
        <f>C16</f>
        <v>18550.600000000002</v>
      </c>
      <c r="D31" s="145">
        <f>D16</f>
        <v>1654.4373371787794</v>
      </c>
      <c r="E31" s="3">
        <f>E16</f>
        <v>1823.2860000000001</v>
      </c>
    </row>
    <row r="32" spans="1:12">
      <c r="A32" s="81" t="str">
        <f>A13</f>
        <v>Net domestic income</v>
      </c>
      <c r="B32" s="145">
        <f>B13</f>
        <v>15557.6</v>
      </c>
      <c r="C32" s="3">
        <f>C13</f>
        <v>17268</v>
      </c>
      <c r="D32" s="145">
        <f>D13</f>
        <v>1680.3388763721746</v>
      </c>
      <c r="E32" s="3">
        <f>E13</f>
        <v>1851.8310000000001</v>
      </c>
    </row>
    <row r="33" spans="1:5">
      <c r="A33" s="82" t="s">
        <v>143</v>
      </c>
      <c r="B33" s="146">
        <f>B31-B32</f>
        <v>526.45634424826676</v>
      </c>
      <c r="C33" s="84">
        <f>C31-C32</f>
        <v>1282.6000000000022</v>
      </c>
      <c r="D33" s="146">
        <f>D31-D32</f>
        <v>-25.901539193395138</v>
      </c>
      <c r="E33" s="84">
        <f>E31-E32</f>
        <v>-28.545000000000073</v>
      </c>
    </row>
    <row r="34" spans="1:5">
      <c r="B34" s="155"/>
      <c r="C34" s="40"/>
    </row>
    <row r="35" spans="1:5">
      <c r="A35" s="5" t="s">
        <v>130</v>
      </c>
      <c r="B35" s="155"/>
      <c r="C35" s="40"/>
    </row>
    <row r="36" spans="1:5">
      <c r="B36" s="186" t="s">
        <v>13</v>
      </c>
      <c r="C36" s="187"/>
      <c r="D36" s="188" t="s">
        <v>14</v>
      </c>
      <c r="E36" s="187"/>
    </row>
    <row r="37" spans="1:5">
      <c r="B37" s="173" t="s">
        <v>224</v>
      </c>
      <c r="C37" s="173" t="s">
        <v>15</v>
      </c>
      <c r="D37" s="66" t="s">
        <v>224</v>
      </c>
      <c r="E37" s="173" t="s">
        <v>15</v>
      </c>
    </row>
    <row r="38" spans="1:5">
      <c r="A38" s="147" t="str">
        <f>A6</f>
        <v>Gross domestic product</v>
      </c>
      <c r="B38" s="144">
        <f>B6</f>
        <v>18566.400000000001</v>
      </c>
      <c r="C38" s="83">
        <f>C6</f>
        <v>20494.099999999999</v>
      </c>
      <c r="D38" s="144">
        <f>D6</f>
        <v>2054.3277499999999</v>
      </c>
      <c r="E38" s="83">
        <f>E6</f>
        <v>2219.0609999999997</v>
      </c>
    </row>
    <row r="39" spans="1:5">
      <c r="A39" s="81" t="str">
        <f>A12</f>
        <v>Net domestic product</v>
      </c>
      <c r="B39" s="145">
        <f>B12</f>
        <v>15514.6</v>
      </c>
      <c r="C39" s="3">
        <f>C12</f>
        <v>17220.2</v>
      </c>
      <c r="D39" s="145">
        <f>D12</f>
        <v>-321003.13916558801</v>
      </c>
      <c r="E39" s="3">
        <f>E12</f>
        <v>-365010.93900000001</v>
      </c>
    </row>
    <row r="40" spans="1:5">
      <c r="A40" s="81" t="s">
        <v>143</v>
      </c>
      <c r="B40" s="145">
        <f>B38-B39</f>
        <v>3051.8000000000011</v>
      </c>
      <c r="C40" s="3">
        <f>C38-C39</f>
        <v>3273.8999999999978</v>
      </c>
      <c r="D40" s="145">
        <f>D38-D39</f>
        <v>323057.46691558801</v>
      </c>
      <c r="E40" s="3">
        <f>E38-E39</f>
        <v>367230</v>
      </c>
    </row>
    <row r="41" spans="1:5">
      <c r="A41" s="81" t="str">
        <f>A7</f>
        <v>Gross domestic income</v>
      </c>
      <c r="B41" s="145">
        <f>B7</f>
        <v>18609.7</v>
      </c>
      <c r="C41" s="3">
        <f>C7</f>
        <v>20541.8</v>
      </c>
      <c r="D41" s="145">
        <f>D7</f>
        <v>2013.5608850598751</v>
      </c>
      <c r="E41" s="3">
        <f>E7</f>
        <v>2219.0609999999997</v>
      </c>
    </row>
    <row r="42" spans="1:5">
      <c r="A42" s="81" t="str">
        <f>A13</f>
        <v>Net domestic income</v>
      </c>
      <c r="B42" s="145">
        <f>B13</f>
        <v>15557.6</v>
      </c>
      <c r="C42" s="3">
        <f>C13</f>
        <v>17268</v>
      </c>
      <c r="D42" s="145">
        <f>D13</f>
        <v>1680.3388763721746</v>
      </c>
      <c r="E42" s="3">
        <f>E13</f>
        <v>1851.8310000000001</v>
      </c>
    </row>
    <row r="43" spans="1:5">
      <c r="A43" s="81" t="s">
        <v>143</v>
      </c>
      <c r="B43" s="145">
        <f>B41-B42</f>
        <v>3052.1000000000004</v>
      </c>
      <c r="C43" s="3">
        <f>C41-C42</f>
        <v>3273.7999999999993</v>
      </c>
      <c r="D43" s="145">
        <f>D41-D42</f>
        <v>333.22200868770051</v>
      </c>
      <c r="E43" s="3">
        <f>E41-E42</f>
        <v>367.22999999999956</v>
      </c>
    </row>
    <row r="44" spans="1:5">
      <c r="A44" s="81" t="str">
        <f>A9</f>
        <v>Gross national product</v>
      </c>
      <c r="B44" s="145">
        <f>B9</f>
        <v>18815.900000000001</v>
      </c>
      <c r="C44" s="3">
        <f>C9</f>
        <v>20755.5</v>
      </c>
      <c r="D44" s="145">
        <f>D9</f>
        <v>2027.9018042401719</v>
      </c>
      <c r="E44" s="3">
        <f>E9</f>
        <v>2190.5160000000001</v>
      </c>
    </row>
    <row r="45" spans="1:5">
      <c r="A45" s="81" t="str">
        <f>A15</f>
        <v>Net national product</v>
      </c>
      <c r="B45" s="145">
        <f>B15</f>
        <v>15763.9</v>
      </c>
      <c r="C45" s="3">
        <f>C15</f>
        <v>17481.599999999999</v>
      </c>
      <c r="D45" s="145">
        <f>D15</f>
        <v>-321029.56511134782</v>
      </c>
      <c r="E45" s="3">
        <f>E15</f>
        <v>-365039.484</v>
      </c>
    </row>
    <row r="46" spans="1:5">
      <c r="A46" s="81" t="s">
        <v>143</v>
      </c>
      <c r="B46" s="145">
        <f>B44-B45</f>
        <v>3052.0000000000018</v>
      </c>
      <c r="C46" s="3">
        <f>C44-C45</f>
        <v>3273.9000000000015</v>
      </c>
      <c r="D46" s="145">
        <f>D44-D45</f>
        <v>323057.46691558801</v>
      </c>
      <c r="E46" s="3">
        <f>E44-E45</f>
        <v>367230</v>
      </c>
    </row>
    <row r="47" spans="1:5">
      <c r="A47" s="81" t="str">
        <f>A10</f>
        <v>Gross national income</v>
      </c>
      <c r="B47" s="145">
        <f>B10</f>
        <v>18859.2</v>
      </c>
      <c r="C47" s="3">
        <f>C10</f>
        <v>20803.2</v>
      </c>
      <c r="D47" s="145">
        <f>D10</f>
        <v>1987.6593458664804</v>
      </c>
      <c r="E47" s="3">
        <f>E10</f>
        <v>2190.5160000000001</v>
      </c>
    </row>
    <row r="48" spans="1:5">
      <c r="A48" s="81" t="str">
        <f>A16</f>
        <v>Net national income</v>
      </c>
      <c r="B48" s="145">
        <f>B16</f>
        <v>16084.056344248267</v>
      </c>
      <c r="C48" s="3">
        <f>C16</f>
        <v>18550.600000000002</v>
      </c>
      <c r="D48" s="145">
        <f>D16</f>
        <v>1654.4373371787794</v>
      </c>
      <c r="E48" s="3">
        <f>E16</f>
        <v>1823.2860000000001</v>
      </c>
    </row>
    <row r="49" spans="1:5">
      <c r="A49" s="82" t="s">
        <v>143</v>
      </c>
      <c r="B49" s="146">
        <f>B47-B48</f>
        <v>2775.1436557517336</v>
      </c>
      <c r="C49" s="84">
        <f>C47-C48</f>
        <v>2252.5999999999985</v>
      </c>
      <c r="D49" s="146">
        <f>D47-D48</f>
        <v>333.22200868770096</v>
      </c>
      <c r="E49" s="84">
        <f>E47-E48</f>
        <v>367.23</v>
      </c>
    </row>
    <row r="51" spans="1:5">
      <c r="A51" s="42" t="s">
        <v>48</v>
      </c>
    </row>
  </sheetData>
  <mergeCells count="7">
    <mergeCell ref="B36:C36"/>
    <mergeCell ref="D36:E36"/>
    <mergeCell ref="A1:F1"/>
    <mergeCell ref="B4:C4"/>
    <mergeCell ref="D4:E4"/>
    <mergeCell ref="B20:C20"/>
    <mergeCell ref="D20:E20"/>
  </mergeCells>
  <pageMargins left="0.7" right="0.7" top="0.75" bottom="0.75" header="0.3" footer="0.3"/>
  <pageSetup scale="92" orientation="portrait" r:id="rId1"/>
</worksheet>
</file>

<file path=xl/worksheets/sheet9.xml><?xml version="1.0" encoding="utf-8"?>
<worksheet xmlns="http://schemas.openxmlformats.org/spreadsheetml/2006/main" xmlns:r="http://schemas.openxmlformats.org/officeDocument/2006/relationships">
  <dimension ref="A1:E51"/>
  <sheetViews>
    <sheetView view="pageBreakPreview" zoomScaleSheetLayoutView="100" workbookViewId="0">
      <selection activeCell="B37" sqref="B37:E37"/>
    </sheetView>
  </sheetViews>
  <sheetFormatPr defaultRowHeight="15"/>
  <cols>
    <col min="1" max="1" width="24.140625" customWidth="1"/>
    <col min="2" max="3" width="15.5703125" customWidth="1"/>
    <col min="4" max="4" width="15.140625" customWidth="1"/>
    <col min="5" max="5" width="15.28515625" customWidth="1"/>
  </cols>
  <sheetData>
    <row r="1" spans="1:5" ht="29.25" customHeight="1">
      <c r="A1" s="181" t="s">
        <v>225</v>
      </c>
      <c r="B1" s="181"/>
      <c r="C1" s="181"/>
      <c r="D1" s="181"/>
      <c r="E1" s="181"/>
    </row>
    <row r="2" spans="1:5">
      <c r="A2" s="42"/>
      <c r="B2" s="42"/>
      <c r="C2" s="42"/>
      <c r="D2" s="42"/>
      <c r="E2" s="42"/>
    </row>
    <row r="3" spans="1:5" ht="30" customHeight="1">
      <c r="A3" s="181" t="s">
        <v>128</v>
      </c>
      <c r="B3" s="181"/>
      <c r="C3" s="181"/>
      <c r="D3" s="181"/>
      <c r="E3" s="181"/>
    </row>
    <row r="4" spans="1:5">
      <c r="A4" s="42"/>
      <c r="B4" s="186" t="s">
        <v>13</v>
      </c>
      <c r="C4" s="187"/>
      <c r="D4" s="188" t="s">
        <v>14</v>
      </c>
      <c r="E4" s="187"/>
    </row>
    <row r="5" spans="1:5">
      <c r="A5" s="42"/>
      <c r="B5" s="173" t="s">
        <v>224</v>
      </c>
      <c r="C5" s="173" t="s">
        <v>15</v>
      </c>
      <c r="D5" s="66" t="s">
        <v>224</v>
      </c>
      <c r="E5" s="173" t="s">
        <v>15</v>
      </c>
    </row>
    <row r="6" spans="1:5">
      <c r="A6" s="66" t="s">
        <v>0</v>
      </c>
      <c r="B6" s="156">
        <f>'6'!$B$63</f>
        <v>1.9429546491223526</v>
      </c>
      <c r="C6" s="90">
        <f>'5'!B63</f>
        <v>3.9229653097272665</v>
      </c>
      <c r="D6" s="156">
        <f>'6'!L50</f>
        <v>1.9640659030434993</v>
      </c>
      <c r="E6" s="91">
        <f>'5'!L52</f>
        <v>3.9440171375062949</v>
      </c>
    </row>
    <row r="7" spans="1:5">
      <c r="A7" s="67" t="s">
        <v>2</v>
      </c>
      <c r="B7" s="157">
        <f>'6'!$C$63</f>
        <v>1.9030950434415717</v>
      </c>
      <c r="C7" s="93">
        <f>'5'!C63</f>
        <v>3.8823064447877087</v>
      </c>
      <c r="D7" s="157">
        <f>'6'!M50</f>
        <v>2.0717151602193118</v>
      </c>
      <c r="E7" s="94">
        <f>'5'!M52</f>
        <v>3.9440171375062949</v>
      </c>
    </row>
    <row r="8" spans="1:5">
      <c r="A8" s="67" t="s">
        <v>143</v>
      </c>
      <c r="B8" s="157">
        <f>B6-B7</f>
        <v>3.9859605680780952E-2</v>
      </c>
      <c r="C8" s="93">
        <f>C6-C7</f>
        <v>4.0658864939557837E-2</v>
      </c>
      <c r="D8" s="157">
        <f>D6-D7</f>
        <v>-0.10764925717581253</v>
      </c>
      <c r="E8" s="94">
        <f>E6-E7</f>
        <v>0</v>
      </c>
    </row>
    <row r="9" spans="1:5">
      <c r="A9" s="67" t="s">
        <v>6</v>
      </c>
      <c r="B9" s="157">
        <f>'6'!$D$63</f>
        <v>1.9974751723829787</v>
      </c>
      <c r="C9" s="93">
        <f>'5'!D63</f>
        <v>3.9764211910655378</v>
      </c>
      <c r="D9" s="157">
        <f>'6'!N50</f>
        <v>2.041370163183398</v>
      </c>
      <c r="E9" s="94">
        <f>'5'!N52</f>
        <v>4.0228225016276431</v>
      </c>
    </row>
    <row r="10" spans="1:5">
      <c r="A10" s="67" t="s">
        <v>3</v>
      </c>
      <c r="B10" s="157">
        <f>'6'!$E$63</f>
        <v>1.9576158623030304</v>
      </c>
      <c r="C10" s="93">
        <f>'5'!E63</f>
        <v>3.9357562548548497</v>
      </c>
      <c r="D10" s="157">
        <f>'6'!O50</f>
        <v>2.1491010348584583</v>
      </c>
      <c r="E10" s="94">
        <f>'5'!O52</f>
        <v>4.0228225016276431</v>
      </c>
    </row>
    <row r="11" spans="1:5">
      <c r="A11" s="67" t="s">
        <v>143</v>
      </c>
      <c r="B11" s="157">
        <f>B9-B10</f>
        <v>3.9859310079948251E-2</v>
      </c>
      <c r="C11" s="93">
        <f>C9-C10</f>
        <v>4.0664936210688118E-2</v>
      </c>
      <c r="D11" s="157">
        <f>D9-D10</f>
        <v>-0.10773087167506024</v>
      </c>
      <c r="E11" s="94">
        <f>E9-E10</f>
        <v>0</v>
      </c>
    </row>
    <row r="12" spans="1:5">
      <c r="A12" s="67" t="s">
        <v>4</v>
      </c>
      <c r="B12" s="157">
        <f>'6'!$F$63</f>
        <v>1.7384475186445814</v>
      </c>
      <c r="C12" s="93">
        <f>'5'!F63</f>
        <v>3.838776241527464</v>
      </c>
      <c r="D12" s="157">
        <f>'6'!P50</f>
        <v>2.3228339286091471</v>
      </c>
      <c r="E12" s="94">
        <f>'5'!P52</f>
        <v>4.5441599391802256</v>
      </c>
    </row>
    <row r="13" spans="1:5">
      <c r="A13" s="67" t="s">
        <v>5</v>
      </c>
      <c r="B13" s="157">
        <f>'6'!$G$63</f>
        <v>1.6920424593334538</v>
      </c>
      <c r="C13" s="93">
        <f>'5'!G63</f>
        <v>3.7914403459939239</v>
      </c>
      <c r="D13" s="157">
        <f>'6'!P50</f>
        <v>2.3228339286091471</v>
      </c>
      <c r="E13" s="94">
        <f>'5'!Q52</f>
        <v>3.8331025452442047</v>
      </c>
    </row>
    <row r="14" spans="1:5">
      <c r="A14" s="67" t="s">
        <v>143</v>
      </c>
      <c r="B14" s="157">
        <f>B12-B13</f>
        <v>4.6405059311127594E-2</v>
      </c>
      <c r="C14" s="93">
        <f>C12-C13</f>
        <v>4.7335895533540118E-2</v>
      </c>
      <c r="D14" s="157">
        <f>D12-D13</f>
        <v>0</v>
      </c>
      <c r="E14" s="94">
        <f>E12-E13</f>
        <v>0.71105739393602096</v>
      </c>
    </row>
    <row r="15" spans="1:5">
      <c r="A15" s="67" t="s">
        <v>1</v>
      </c>
      <c r="B15" s="157">
        <f>'6'!$H$63</f>
        <v>1.8047723674147864</v>
      </c>
      <c r="C15" s="93">
        <f>'5'!H63</f>
        <v>3.9026550454055897</v>
      </c>
      <c r="D15" s="157">
        <f>'6'!Q50</f>
        <v>1.9627984281142652</v>
      </c>
      <c r="E15" s="94">
        <f>'5'!R52</f>
        <v>4.5435866050063556</v>
      </c>
    </row>
    <row r="16" spans="1:5">
      <c r="A16" s="67" t="s">
        <v>7</v>
      </c>
      <c r="B16" s="157">
        <f>'6'!$I$63</f>
        <v>1.9713705558622285</v>
      </c>
      <c r="C16" s="93">
        <f>'5'!I63</f>
        <v>3.918147167976227</v>
      </c>
      <c r="D16" s="157">
        <f>'6'!R50</f>
        <v>2.3222851366395902</v>
      </c>
      <c r="E16" s="94">
        <f>'5'!S52</f>
        <v>3.9242508808666976</v>
      </c>
    </row>
    <row r="17" spans="1:5">
      <c r="A17" s="68" t="s">
        <v>143</v>
      </c>
      <c r="B17" s="158">
        <f>B15-B16</f>
        <v>-0.16659818844744212</v>
      </c>
      <c r="C17" s="96">
        <f>C15-C16</f>
        <v>-1.5492122570637257E-2</v>
      </c>
      <c r="D17" s="158">
        <f>D15-D16</f>
        <v>-0.35948670852532505</v>
      </c>
      <c r="E17" s="97">
        <f>E15-E16</f>
        <v>0.61933572413965798</v>
      </c>
    </row>
    <row r="18" spans="1:5">
      <c r="A18" s="9"/>
      <c r="B18" s="41"/>
      <c r="C18" s="41"/>
      <c r="D18" s="41"/>
      <c r="E18" s="41"/>
    </row>
    <row r="19" spans="1:5" ht="30" customHeight="1">
      <c r="A19" s="181" t="s">
        <v>129</v>
      </c>
      <c r="B19" s="181"/>
      <c r="C19" s="181"/>
      <c r="D19" s="181"/>
      <c r="E19" s="181"/>
    </row>
    <row r="20" spans="1:5">
      <c r="A20" s="42"/>
      <c r="B20" s="186" t="s">
        <v>13</v>
      </c>
      <c r="C20" s="187"/>
      <c r="D20" s="186" t="s">
        <v>14</v>
      </c>
      <c r="E20" s="187"/>
    </row>
    <row r="21" spans="1:5">
      <c r="A21" s="42"/>
      <c r="B21" s="173" t="s">
        <v>224</v>
      </c>
      <c r="C21" s="173" t="s">
        <v>15</v>
      </c>
      <c r="D21" s="66" t="s">
        <v>224</v>
      </c>
      <c r="E21" s="173" t="s">
        <v>15</v>
      </c>
    </row>
    <row r="22" spans="1:5">
      <c r="A22" s="66" t="str">
        <f>A9</f>
        <v>Gross national product</v>
      </c>
      <c r="B22" s="89">
        <f>B9</f>
        <v>1.9974751723829787</v>
      </c>
      <c r="C22" s="156">
        <f>C9</f>
        <v>3.9764211910655378</v>
      </c>
      <c r="D22" s="156">
        <f>D9</f>
        <v>2.041370163183398</v>
      </c>
      <c r="E22" s="91">
        <f>E9</f>
        <v>4.0228225016276431</v>
      </c>
    </row>
    <row r="23" spans="1:5">
      <c r="A23" s="67" t="str">
        <f>A6</f>
        <v>Gross domestic product</v>
      </c>
      <c r="B23" s="92">
        <f>B6</f>
        <v>1.9429546491223526</v>
      </c>
      <c r="C23" s="157">
        <f>C6</f>
        <v>3.9229653097272665</v>
      </c>
      <c r="D23" s="157">
        <f>D6</f>
        <v>1.9640659030434993</v>
      </c>
      <c r="E23" s="94">
        <f>E6</f>
        <v>3.9440171375062949</v>
      </c>
    </row>
    <row r="24" spans="1:5">
      <c r="A24" s="67" t="s">
        <v>143</v>
      </c>
      <c r="B24" s="92">
        <f>B22-B23</f>
        <v>5.4520523260626064E-2</v>
      </c>
      <c r="C24" s="157">
        <f>C22-C23</f>
        <v>5.3455881338271283E-2</v>
      </c>
      <c r="D24" s="157">
        <f>D22-D23</f>
        <v>7.7304260139898773E-2</v>
      </c>
      <c r="E24" s="94">
        <f>E22-E23</f>
        <v>7.8805364121348198E-2</v>
      </c>
    </row>
    <row r="25" spans="1:5">
      <c r="A25" s="67" t="str">
        <f>A10</f>
        <v>Gross national income</v>
      </c>
      <c r="B25" s="92">
        <f>B10</f>
        <v>1.9576158623030304</v>
      </c>
      <c r="C25" s="157">
        <f>C10</f>
        <v>3.9357562548548497</v>
      </c>
      <c r="D25" s="157">
        <f>D10</f>
        <v>2.1491010348584583</v>
      </c>
      <c r="E25" s="94">
        <f>E10</f>
        <v>4.0228225016276431</v>
      </c>
    </row>
    <row r="26" spans="1:5">
      <c r="A26" s="67" t="str">
        <f>A7</f>
        <v>Gross domestic income</v>
      </c>
      <c r="B26" s="92">
        <f>B7</f>
        <v>1.9030950434415717</v>
      </c>
      <c r="C26" s="157">
        <f>C7</f>
        <v>3.8823064447877087</v>
      </c>
      <c r="D26" s="157">
        <f>D7</f>
        <v>2.0717151602193118</v>
      </c>
      <c r="E26" s="94">
        <f>E7</f>
        <v>3.9440171375062949</v>
      </c>
    </row>
    <row r="27" spans="1:5">
      <c r="A27" s="67" t="s">
        <v>143</v>
      </c>
      <c r="B27" s="92">
        <f>B25-B26</f>
        <v>5.4520818861458764E-2</v>
      </c>
      <c r="C27" s="157">
        <f>C25-C26</f>
        <v>5.3449810067141001E-2</v>
      </c>
      <c r="D27" s="157">
        <f>D25-D26</f>
        <v>7.7385874639146479E-2</v>
      </c>
      <c r="E27" s="94">
        <f>E25-E26</f>
        <v>7.8805364121348198E-2</v>
      </c>
    </row>
    <row r="28" spans="1:5">
      <c r="A28" s="67" t="str">
        <f>A15</f>
        <v>Net national product</v>
      </c>
      <c r="B28" s="92">
        <f>B15</f>
        <v>1.8047723674147864</v>
      </c>
      <c r="C28" s="157">
        <f>C15</f>
        <v>3.9026550454055897</v>
      </c>
      <c r="D28" s="157">
        <f>D15</f>
        <v>1.9627984281142652</v>
      </c>
      <c r="E28" s="94">
        <f>E15</f>
        <v>4.5435866050063556</v>
      </c>
    </row>
    <row r="29" spans="1:5">
      <c r="A29" s="67" t="str">
        <f>A12</f>
        <v>Net domestic product</v>
      </c>
      <c r="B29" s="92">
        <f>B12</f>
        <v>1.7384475186445814</v>
      </c>
      <c r="C29" s="157">
        <f>C12</f>
        <v>3.838776241527464</v>
      </c>
      <c r="D29" s="157">
        <f>D12</f>
        <v>2.3228339286091471</v>
      </c>
      <c r="E29" s="94">
        <f>E12</f>
        <v>4.5441599391802256</v>
      </c>
    </row>
    <row r="30" spans="1:5">
      <c r="A30" s="67" t="s">
        <v>143</v>
      </c>
      <c r="B30" s="92">
        <f>B28-B29</f>
        <v>6.6324848770205058E-2</v>
      </c>
      <c r="C30" s="157">
        <f>C28-C29</f>
        <v>6.3878803878125723E-2</v>
      </c>
      <c r="D30" s="157">
        <f>D28-D29</f>
        <v>-0.36003550049488187</v>
      </c>
      <c r="E30" s="94">
        <f>E28-E29</f>
        <v>-5.7333417387006591E-4</v>
      </c>
    </row>
    <row r="31" spans="1:5">
      <c r="A31" s="67" t="str">
        <f>A16</f>
        <v>Net national income</v>
      </c>
      <c r="B31" s="92">
        <f>B16</f>
        <v>1.9713705558622285</v>
      </c>
      <c r="C31" s="157">
        <f>C16</f>
        <v>3.918147167976227</v>
      </c>
      <c r="D31" s="157">
        <f>D16</f>
        <v>2.3222851366395902</v>
      </c>
      <c r="E31" s="94">
        <f>E16</f>
        <v>3.9242508808666976</v>
      </c>
    </row>
    <row r="32" spans="1:5">
      <c r="A32" s="67" t="str">
        <f>A13</f>
        <v>Net domestic income</v>
      </c>
      <c r="B32" s="92">
        <f>B13</f>
        <v>1.6920424593334538</v>
      </c>
      <c r="C32" s="157">
        <f>C13</f>
        <v>3.7914403459939239</v>
      </c>
      <c r="D32" s="157">
        <f>D13</f>
        <v>2.3228339286091471</v>
      </c>
      <c r="E32" s="94">
        <f>E13</f>
        <v>3.8331025452442047</v>
      </c>
    </row>
    <row r="33" spans="1:5">
      <c r="A33" s="68" t="s">
        <v>143</v>
      </c>
      <c r="B33" s="95">
        <f>B31-B32</f>
        <v>0.27932809652877477</v>
      </c>
      <c r="C33" s="158">
        <f>C31-C32</f>
        <v>0.1267068219823031</v>
      </c>
      <c r="D33" s="158">
        <f>D31-D32</f>
        <v>-5.4879196955681664E-4</v>
      </c>
      <c r="E33" s="97">
        <f>E31-E32</f>
        <v>9.1148335622492915E-2</v>
      </c>
    </row>
    <row r="34" spans="1:5">
      <c r="A34" s="42"/>
      <c r="B34" s="42"/>
      <c r="C34" s="42"/>
      <c r="D34" s="42"/>
      <c r="E34" s="42"/>
    </row>
    <row r="35" spans="1:5" ht="30" customHeight="1">
      <c r="A35" s="181" t="s">
        <v>130</v>
      </c>
      <c r="B35" s="181"/>
      <c r="C35" s="181"/>
      <c r="D35" s="181"/>
      <c r="E35" s="181"/>
    </row>
    <row r="36" spans="1:5">
      <c r="A36" s="42"/>
      <c r="B36" s="186" t="s">
        <v>13</v>
      </c>
      <c r="C36" s="187"/>
      <c r="D36" s="186" t="s">
        <v>14</v>
      </c>
      <c r="E36" s="187"/>
    </row>
    <row r="37" spans="1:5">
      <c r="A37" s="42"/>
      <c r="B37" s="173" t="s">
        <v>224</v>
      </c>
      <c r="C37" s="173" t="s">
        <v>15</v>
      </c>
      <c r="D37" s="66" t="s">
        <v>224</v>
      </c>
      <c r="E37" s="173" t="s">
        <v>15</v>
      </c>
    </row>
    <row r="38" spans="1:5">
      <c r="A38" s="66" t="str">
        <f>A6</f>
        <v>Gross domestic product</v>
      </c>
      <c r="B38" s="89">
        <f>B6</f>
        <v>1.9429546491223526</v>
      </c>
      <c r="C38" s="156">
        <f>C6</f>
        <v>3.9229653097272665</v>
      </c>
      <c r="D38" s="156">
        <f>D6</f>
        <v>1.9640659030434993</v>
      </c>
      <c r="E38" s="91">
        <f>E6</f>
        <v>3.9440171375062949</v>
      </c>
    </row>
    <row r="39" spans="1:5">
      <c r="A39" s="67" t="str">
        <f>A12</f>
        <v>Net domestic product</v>
      </c>
      <c r="B39" s="92">
        <f>B12</f>
        <v>1.7384475186445814</v>
      </c>
      <c r="C39" s="157">
        <f>C12</f>
        <v>3.838776241527464</v>
      </c>
      <c r="D39" s="157">
        <f>D12</f>
        <v>2.3228339286091471</v>
      </c>
      <c r="E39" s="94">
        <f>E12</f>
        <v>4.5441599391802256</v>
      </c>
    </row>
    <row r="40" spans="1:5">
      <c r="A40" s="67" t="s">
        <v>143</v>
      </c>
      <c r="B40" s="92">
        <f>B38-B39</f>
        <v>0.20450713047777125</v>
      </c>
      <c r="C40" s="157">
        <f>C38-C39</f>
        <v>8.4189068199802541E-2</v>
      </c>
      <c r="D40" s="157">
        <f>D38-D39</f>
        <v>-0.3587680255656478</v>
      </c>
      <c r="E40" s="94">
        <f>E38-E39</f>
        <v>-0.60014280167393075</v>
      </c>
    </row>
    <row r="41" spans="1:5">
      <c r="A41" s="67" t="str">
        <f>A7</f>
        <v>Gross domestic income</v>
      </c>
      <c r="B41" s="92">
        <f>B7</f>
        <v>1.9030950434415717</v>
      </c>
      <c r="C41" s="157">
        <f>C7</f>
        <v>3.8823064447877087</v>
      </c>
      <c r="D41" s="157">
        <f>D7</f>
        <v>2.0717151602193118</v>
      </c>
      <c r="E41" s="94">
        <f>E7</f>
        <v>3.9440171375062949</v>
      </c>
    </row>
    <row r="42" spans="1:5">
      <c r="A42" s="67" t="str">
        <f>A13</f>
        <v>Net domestic income</v>
      </c>
      <c r="B42" s="92">
        <f>B13</f>
        <v>1.6920424593334538</v>
      </c>
      <c r="C42" s="157">
        <f>C13</f>
        <v>3.7914403459939239</v>
      </c>
      <c r="D42" s="157">
        <f>D13</f>
        <v>2.3228339286091471</v>
      </c>
      <c r="E42" s="94">
        <f>E13</f>
        <v>3.8331025452442047</v>
      </c>
    </row>
    <row r="43" spans="1:5">
      <c r="A43" s="67" t="s">
        <v>143</v>
      </c>
      <c r="B43" s="92">
        <f>B41-B42</f>
        <v>0.21105258410811789</v>
      </c>
      <c r="C43" s="157">
        <f>C41-C42</f>
        <v>9.0866098793784822E-2</v>
      </c>
      <c r="D43" s="157">
        <f>D41-D42</f>
        <v>-0.25111876838983527</v>
      </c>
      <c r="E43" s="94">
        <f>E41-E42</f>
        <v>0.11091459226209022</v>
      </c>
    </row>
    <row r="44" spans="1:5">
      <c r="A44" s="67" t="str">
        <f>A9</f>
        <v>Gross national product</v>
      </c>
      <c r="B44" s="92">
        <f>B9</f>
        <v>1.9974751723829787</v>
      </c>
      <c r="C44" s="157">
        <f>C9</f>
        <v>3.9764211910655378</v>
      </c>
      <c r="D44" s="157">
        <f>D9</f>
        <v>2.041370163183398</v>
      </c>
      <c r="E44" s="94">
        <f>E9</f>
        <v>4.0228225016276431</v>
      </c>
    </row>
    <row r="45" spans="1:5">
      <c r="A45" s="67" t="str">
        <f>A15</f>
        <v>Net national product</v>
      </c>
      <c r="B45" s="92">
        <f>B15</f>
        <v>1.8047723674147864</v>
      </c>
      <c r="C45" s="157">
        <f>C15</f>
        <v>3.9026550454055897</v>
      </c>
      <c r="D45" s="157">
        <f>D15</f>
        <v>1.9627984281142652</v>
      </c>
      <c r="E45" s="94">
        <f>E15</f>
        <v>4.5435866050063556</v>
      </c>
    </row>
    <row r="46" spans="1:5">
      <c r="A46" s="67" t="s">
        <v>143</v>
      </c>
      <c r="B46" s="92">
        <f>B44-B45</f>
        <v>0.19270280496819225</v>
      </c>
      <c r="C46" s="157">
        <f>C44-C45</f>
        <v>7.3766145659948101E-2</v>
      </c>
      <c r="D46" s="157">
        <f>D44-D45</f>
        <v>7.8571735069132842E-2</v>
      </c>
      <c r="E46" s="94">
        <f>E44-E45</f>
        <v>-0.52076410337871248</v>
      </c>
    </row>
    <row r="47" spans="1:5">
      <c r="A47" s="67" t="str">
        <f>A10</f>
        <v>Gross national income</v>
      </c>
      <c r="B47" s="92">
        <f>B10</f>
        <v>1.9576158623030304</v>
      </c>
      <c r="C47" s="157">
        <f>C10</f>
        <v>3.9357562548548497</v>
      </c>
      <c r="D47" s="157">
        <f>D10</f>
        <v>2.1491010348584583</v>
      </c>
      <c r="E47" s="94">
        <f>E10</f>
        <v>4.0228225016276431</v>
      </c>
    </row>
    <row r="48" spans="1:5">
      <c r="A48" s="67" t="str">
        <f>A16</f>
        <v>Net national income</v>
      </c>
      <c r="B48" s="92">
        <f>B16</f>
        <v>1.9713705558622285</v>
      </c>
      <c r="C48" s="157">
        <f>C16</f>
        <v>3.918147167976227</v>
      </c>
      <c r="D48" s="157">
        <f>D16</f>
        <v>2.3222851366395902</v>
      </c>
      <c r="E48" s="94">
        <f>E16</f>
        <v>3.9242508808666976</v>
      </c>
    </row>
    <row r="49" spans="1:5">
      <c r="A49" s="68" t="s">
        <v>143</v>
      </c>
      <c r="B49" s="95">
        <f>B47-B48</f>
        <v>-1.3754693559198117E-2</v>
      </c>
      <c r="C49" s="158">
        <f>C47-C48</f>
        <v>1.7609086878622726E-2</v>
      </c>
      <c r="D49" s="158">
        <f>D47-D48</f>
        <v>-0.17318410178113197</v>
      </c>
      <c r="E49" s="97">
        <f>E47-E48</f>
        <v>9.85716207609455E-2</v>
      </c>
    </row>
    <row r="50" spans="1:5">
      <c r="A50" s="42"/>
      <c r="B50" s="42"/>
      <c r="C50" s="42"/>
      <c r="D50" s="42"/>
      <c r="E50" s="42"/>
    </row>
    <row r="51" spans="1:5">
      <c r="A51" s="42" t="s">
        <v>49</v>
      </c>
      <c r="B51" s="42"/>
      <c r="C51" s="42"/>
      <c r="D51" s="42"/>
      <c r="E51" s="42"/>
    </row>
  </sheetData>
  <mergeCells count="10">
    <mergeCell ref="A35:E35"/>
    <mergeCell ref="B36:C36"/>
    <mergeCell ref="D36:E36"/>
    <mergeCell ref="A1:E1"/>
    <mergeCell ref="A3:E3"/>
    <mergeCell ref="B4:C4"/>
    <mergeCell ref="D4:E4"/>
    <mergeCell ref="A19:E19"/>
    <mergeCell ref="B20:C20"/>
    <mergeCell ref="D20:E20"/>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Index</vt:lpstr>
      <vt:lpstr>1 </vt:lpstr>
      <vt:lpstr>2</vt:lpstr>
      <vt:lpstr>3</vt:lpstr>
      <vt:lpstr>4</vt:lpstr>
      <vt:lpstr>5</vt:lpstr>
      <vt:lpstr>6</vt:lpstr>
      <vt:lpstr>7</vt:lpstr>
      <vt:lpstr>8a</vt:lpstr>
      <vt:lpstr>8b</vt:lpstr>
      <vt:lpstr>9</vt:lpstr>
      <vt:lpstr>10</vt:lpstr>
      <vt:lpstr>11</vt:lpstr>
      <vt:lpstr>12a</vt:lpstr>
      <vt:lpstr>12b</vt:lpstr>
      <vt:lpstr>13</vt:lpstr>
      <vt:lpstr>14</vt:lpstr>
      <vt:lpstr>15</vt:lpstr>
      <vt:lpstr>16</vt:lpstr>
      <vt:lpstr>17</vt:lpstr>
      <vt:lpstr>'1 '!Print_Area</vt:lpstr>
      <vt:lpstr>'10'!Print_Area</vt:lpstr>
      <vt:lpstr>'11'!Print_Area</vt:lpstr>
      <vt:lpstr>'12a'!Print_Area</vt:lpstr>
      <vt:lpstr>'12b'!Print_Area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'8a'!Print_Area</vt:lpstr>
      <vt:lpstr>'8b'!Print_Area</vt:lpstr>
      <vt:lpstr>'9'!Print_Area</vt:lpstr>
      <vt:lpstr>Index!Print_Area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dc:creator>
  <cp:lastModifiedBy>CSLS</cp:lastModifiedBy>
  <cp:lastPrinted>2015-05-20T15:23:36Z</cp:lastPrinted>
  <dcterms:created xsi:type="dcterms:W3CDTF">2009-06-25T14:19:14Z</dcterms:created>
  <dcterms:modified xsi:type="dcterms:W3CDTF">2019-06-04T20:02:49Z</dcterms:modified>
</cp:coreProperties>
</file>